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975" windowWidth="15315" windowHeight="4575" activeTab="2"/>
  </bookViews>
  <sheets>
    <sheet name="Results" sheetId="1" r:id="rId1"/>
    <sheet name="Assumtions" sheetId="2" r:id="rId2"/>
    <sheet name="BestEstimateExhibits34" sheetId="3" r:id="rId3"/>
    <sheet name="Assumtions (2)" sheetId="4" r:id="rId4"/>
  </sheets>
  <externalReferences>
    <externalReference r:id="rId7"/>
    <externalReference r:id="rId8"/>
  </externalReferences>
  <definedNames>
    <definedName name="_xlnm.Print_Area" localSheetId="2">'BestEstimateExhibits34'!$A$41:$Q$65</definedName>
    <definedName name="Compliance">#REF!</definedName>
    <definedName name="cr">'[1]Assumptions'!$D$33</definedName>
    <definedName name="dd">'[1]Assumptions'!$D$24</definedName>
    <definedName name="Launch_delay__years">'BestEstimateExhibits34'!$B$5</definedName>
    <definedName name="pe">'[1]Assumptions'!$D$36</definedName>
    <definedName name="Peak_penetration_rate">'BestEstimateExhibits34'!$B$6</definedName>
    <definedName name="pp">'[1]Assumptions'!$D$34</definedName>
    <definedName name="Price_per_patient">'BestEstimateExhibits34'!$B$7</definedName>
    <definedName name="scr">'[1]Assumptions'!$D$38</definedName>
    <definedName name="sdd">'[1]Assumptions'!$D$25</definedName>
    <definedName name="sgr">'[1]Assumptions'!$D$39</definedName>
    <definedName name="sp">'[1]Assumptions'!$D$37</definedName>
    <definedName name="spe">'[1]Assumptions'!$D$40</definedName>
  </definedNames>
  <calcPr fullCalcOnLoad="1"/>
</workbook>
</file>

<file path=xl/sharedStrings.xml><?xml version="1.0" encoding="utf-8"?>
<sst xmlns="http://schemas.openxmlformats.org/spreadsheetml/2006/main" count="176" uniqueCount="112">
  <si>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</si>
  <si>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</si>
  <si>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</si>
  <si>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</si>
  <si>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</si>
  <si>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</si>
  <si>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</si>
  <si>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</si>
  <si>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</si>
  <si>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</si>
  <si>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Eligibility</t>
  </si>
  <si>
    <t>Total Customer Base</t>
  </si>
  <si>
    <t>U.S.  Growth rate</t>
  </si>
  <si>
    <t>Europe growth rate</t>
  </si>
  <si>
    <t>Total U.S. Customers:</t>
  </si>
  <si>
    <t>Total European Customers:</t>
  </si>
  <si>
    <t>Total revenues ($000s)</t>
  </si>
  <si>
    <t>Price per patient ($)</t>
  </si>
  <si>
    <t>Gross Profit ($000)</t>
  </si>
  <si>
    <t>Expenses</t>
  </si>
  <si>
    <t>Net Income</t>
  </si>
  <si>
    <t>Marketing Costs (% of Sales)</t>
  </si>
  <si>
    <t>Marketing Costs ($000s)</t>
  </si>
  <si>
    <t>G&amp;A ($000s)</t>
  </si>
  <si>
    <t>Depreciation ($000)</t>
  </si>
  <si>
    <t>Total Expense ($000s)</t>
  </si>
  <si>
    <t>EBIT ($000s)</t>
  </si>
  <si>
    <t>Net Income ($000s)</t>
  </si>
  <si>
    <t>R&amp;D ($000)</t>
  </si>
  <si>
    <t>Change in Net Working Capital</t>
  </si>
  <si>
    <t>Receivables (days)</t>
  </si>
  <si>
    <t>Inventories (days)</t>
  </si>
  <si>
    <t>Payables (days)</t>
  </si>
  <si>
    <t>Tax ($000s)  @:</t>
  </si>
  <si>
    <t>Investment in Working Capital</t>
  </si>
  <si>
    <t>Net Change in Working Capital</t>
  </si>
  <si>
    <t>Capital Expenditure</t>
  </si>
  <si>
    <t>Add back Depreciation</t>
  </si>
  <si>
    <t>Free Cash Flows</t>
  </si>
  <si>
    <t>Peak penetration rate</t>
  </si>
  <si>
    <t>Discount rate</t>
  </si>
  <si>
    <t>Terminal Value</t>
  </si>
  <si>
    <t>Exhibit 4: Forecast of Free Cash Flows ($000s)</t>
  </si>
  <si>
    <t>Sales Force (number)</t>
  </si>
  <si>
    <t>Sales Force ($000s)</t>
  </si>
  <si>
    <t>G&amp;A (% of Sales Force)</t>
  </si>
  <si>
    <t>Launch delay (years)</t>
  </si>
  <si>
    <t xml:space="preserve"> </t>
  </si>
  <si>
    <t>Assumptions</t>
  </si>
  <si>
    <t>Actual penetration</t>
  </si>
  <si>
    <t>US patients</t>
  </si>
  <si>
    <t>Europe Patients</t>
  </si>
  <si>
    <t>Europe Eligibility</t>
  </si>
  <si>
    <t>Market penetration, no launch delay</t>
  </si>
  <si>
    <t xml:space="preserve">Renagel market performance </t>
  </si>
  <si>
    <t>Exhibit 3: Forecast of Income Statement</t>
  </si>
  <si>
    <t>Market launch probability</t>
  </si>
  <si>
    <t>Uncertainties</t>
  </si>
  <si>
    <t>Adjusted Free Cash Flows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</si>
  <si>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</si>
  <si>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</si>
  <si>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</si>
  <si>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</si>
  <si>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</si>
  <si>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</si>
  <si>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</si>
  <si>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</si>
  <si>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</si>
  <si>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</si>
  <si>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Gross profit (%)</t>
  </si>
  <si>
    <t>FDA Approval, Launch</t>
  </si>
  <si>
    <t>Marketing Cost Multiplier</t>
  </si>
  <si>
    <t>Compliance (%)</t>
  </si>
  <si>
    <t>Life of Drug</t>
  </si>
  <si>
    <t>2018</t>
  </si>
  <si>
    <t>Results</t>
  </si>
  <si>
    <t>Genzyme Price for JV</t>
  </si>
  <si>
    <t>Genzyme Share of JV</t>
  </si>
  <si>
    <t>Genzyme NPV</t>
  </si>
  <si>
    <t>Geltex NPV</t>
  </si>
  <si>
    <t>Enterprise Value (000)</t>
  </si>
  <si>
    <t>JV</t>
  </si>
  <si>
    <t>Genzyme</t>
  </si>
  <si>
    <t>Geltex</t>
  </si>
  <si>
    <t>Genzyme Investment</t>
  </si>
  <si>
    <t>Genzyme Investment NPV</t>
  </si>
  <si>
    <t>JV Enterprise Value</t>
  </si>
  <si>
    <t>Std Dev</t>
  </si>
  <si>
    <t>Standard Deviation</t>
  </si>
  <si>
    <t>Lower Bound</t>
  </si>
  <si>
    <t>Upper Bound</t>
  </si>
  <si>
    <t>Mean</t>
  </si>
  <si>
    <t>Year</t>
  </si>
  <si>
    <t>Simulation Statistics</t>
  </si>
  <si>
    <t>Min.</t>
  </si>
  <si>
    <t>Max.</t>
  </si>
  <si>
    <t>Median</t>
  </si>
  <si>
    <t>Variance</t>
  </si>
  <si>
    <t>Std. Deviation</t>
  </si>
  <si>
    <t>Range</t>
  </si>
  <si>
    <t>Kurtosis</t>
  </si>
  <si>
    <t>Skewness</t>
  </si>
  <si>
    <t>Coef. of Variation</t>
  </si>
  <si>
    <t>Percentile 1%</t>
  </si>
  <si>
    <t>Percentile 42%</t>
  </si>
  <si>
    <t>Percentile 43%</t>
  </si>
  <si>
    <t>Percentile 48%</t>
  </si>
  <si>
    <t>Percentile 49%</t>
  </si>
  <si>
    <t>Percentile 99%</t>
  </si>
  <si>
    <t>Test Run 1</t>
  </si>
  <si>
    <t>Test Run 2</t>
  </si>
  <si>
    <t>Loss Carry Forward</t>
  </si>
</sst>
</file>

<file path=xl/styles.xml><?xml version="1.0" encoding="utf-8"?>
<styleSheet xmlns="http://schemas.openxmlformats.org/spreadsheetml/2006/main">
  <numFmts count="5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.0"/>
    <numFmt numFmtId="178" formatCode="#,##0.0_);\(#,##0.0\)"/>
    <numFmt numFmtId="179" formatCode="_(* #,##0.0_);_(* \(#,##0.0\);_(* &quot;-&quot;?_);_(@_)"/>
    <numFmt numFmtId="180" formatCode="_(* #,##0.000_);_(* \(#,##0.000\);_(* &quot;-&quot;??_);_(@_)"/>
    <numFmt numFmtId="181" formatCode="0_);\(0\)"/>
    <numFmt numFmtId="182" formatCode="#,##0.0"/>
    <numFmt numFmtId="183" formatCode="&quot;$&quot;#,##0"/>
    <numFmt numFmtId="184" formatCode="0.000000000000000%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&quot;$&quot;#,##0.0"/>
    <numFmt numFmtId="196" formatCode="&quot;$&quot;#,##0.00"/>
    <numFmt numFmtId="197" formatCode="&quot;$&quot;#,##0.000"/>
    <numFmt numFmtId="198" formatCode="&quot;$&quot;#,##0.0000"/>
    <numFmt numFmtId="199" formatCode="&quot;$&quot;#,##0.00000"/>
    <numFmt numFmtId="200" formatCode="&quot;$&quot;#,##0.000000"/>
    <numFmt numFmtId="201" formatCode="&quot;$&quot;#,##0.0000000"/>
    <numFmt numFmtId="202" formatCode="0.000000"/>
    <numFmt numFmtId="203" formatCode="0.00000"/>
    <numFmt numFmtId="204" formatCode="0.0000"/>
    <numFmt numFmtId="205" formatCode="0.0%"/>
    <numFmt numFmtId="206" formatCode="0.00000000"/>
    <numFmt numFmtId="207" formatCode="0.0000000"/>
    <numFmt numFmtId="208" formatCode=".00%"/>
    <numFmt numFmtId="209" formatCode="0.0000%"/>
    <numFmt numFmtId="210" formatCode="0.000%"/>
  </numFmts>
  <fonts count="15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Accounting"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Accounting"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9" fontId="2" fillId="0" borderId="1" xfId="2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2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17" applyNumberFormat="1" applyFont="1" applyBorder="1" applyAlignment="1">
      <alignment/>
    </xf>
    <xf numFmtId="0" fontId="2" fillId="0" borderId="0" xfId="0" applyFont="1" applyAlignment="1" quotePrefix="1">
      <alignment/>
    </xf>
    <xf numFmtId="9" fontId="2" fillId="0" borderId="0" xfId="21" applyFont="1" applyBorder="1" applyAlignment="1">
      <alignment horizontal="right"/>
    </xf>
    <xf numFmtId="172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172" fontId="2" fillId="0" borderId="0" xfId="17" applyNumberFormat="1" applyFont="1" applyBorder="1" applyAlignment="1">
      <alignment/>
    </xf>
    <xf numFmtId="172" fontId="2" fillId="0" borderId="0" xfId="17" applyNumberFormat="1" applyFont="1" applyBorder="1" applyAlignment="1">
      <alignment horizontal="right"/>
    </xf>
    <xf numFmtId="172" fontId="2" fillId="0" borderId="0" xfId="17" applyNumberFormat="1" applyFont="1" applyBorder="1" applyAlignment="1">
      <alignment/>
    </xf>
    <xf numFmtId="9" fontId="2" fillId="0" borderId="0" xfId="21" applyFont="1" applyBorder="1" applyAlignment="1">
      <alignment/>
    </xf>
    <xf numFmtId="171" fontId="2" fillId="0" borderId="0" xfId="17" applyFont="1" applyBorder="1" applyAlignment="1">
      <alignment horizontal="right"/>
    </xf>
    <xf numFmtId="171" fontId="2" fillId="0" borderId="0" xfId="17" applyFont="1" applyBorder="1" applyAlignment="1">
      <alignment/>
    </xf>
    <xf numFmtId="172" fontId="5" fillId="0" borderId="0" xfId="17" applyNumberFormat="1" applyFont="1" applyBorder="1" applyAlignment="1">
      <alignment/>
    </xf>
    <xf numFmtId="172" fontId="2" fillId="0" borderId="0" xfId="17" applyNumberFormat="1" applyFont="1" applyBorder="1" applyAlignment="1">
      <alignment horizontal="center"/>
    </xf>
    <xf numFmtId="171" fontId="2" fillId="0" borderId="0" xfId="17" applyFont="1" applyBorder="1" applyAlignment="1">
      <alignment horizontal="center"/>
    </xf>
    <xf numFmtId="1" fontId="2" fillId="0" borderId="0" xfId="17" applyNumberFormat="1" applyFont="1" applyBorder="1" applyAlignment="1">
      <alignment/>
    </xf>
    <xf numFmtId="9" fontId="2" fillId="0" borderId="0" xfId="17" applyNumberFormat="1" applyFont="1" applyBorder="1" applyAlignment="1">
      <alignment/>
    </xf>
    <xf numFmtId="171" fontId="2" fillId="0" borderId="0" xfId="17" applyFont="1" applyBorder="1" applyAlignment="1" quotePrefix="1">
      <alignment horizontal="right"/>
    </xf>
    <xf numFmtId="9" fontId="2" fillId="0" borderId="0" xfId="0" applyNumberFormat="1" applyFont="1" applyBorder="1" applyAlignment="1" quotePrefix="1">
      <alignment horizontal="right"/>
    </xf>
    <xf numFmtId="172" fontId="2" fillId="0" borderId="0" xfId="17" applyNumberFormat="1" applyFont="1" applyBorder="1" applyAlignment="1" quotePrefix="1">
      <alignment horizontal="right"/>
    </xf>
    <xf numFmtId="172" fontId="5" fillId="0" borderId="0" xfId="17" applyNumberFormat="1" applyFont="1" applyBorder="1" applyAlignment="1" quotePrefix="1">
      <alignment horizontal="right"/>
    </xf>
    <xf numFmtId="172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2" fontId="4" fillId="0" borderId="0" xfId="17" applyNumberFormat="1" applyFont="1" applyBorder="1" applyAlignment="1">
      <alignment/>
    </xf>
    <xf numFmtId="9" fontId="2" fillId="0" borderId="1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0" fontId="2" fillId="0" borderId="1" xfId="0" applyFont="1" applyBorder="1" applyAlignment="1">
      <alignment horizontal="center"/>
    </xf>
    <xf numFmtId="172" fontId="5" fillId="0" borderId="0" xfId="17" applyNumberFormat="1" applyFont="1" applyBorder="1" applyAlignment="1">
      <alignment horizontal="center"/>
    </xf>
    <xf numFmtId="0" fontId="2" fillId="0" borderId="2" xfId="0" applyFont="1" applyBorder="1" applyAlignment="1" quotePrefix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81" fontId="2" fillId="0" borderId="1" xfId="2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 horizontal="center"/>
    </xf>
    <xf numFmtId="9" fontId="4" fillId="0" borderId="0" xfId="21" applyFont="1" applyAlignment="1">
      <alignment horizontal="center"/>
    </xf>
    <xf numFmtId="183" fontId="4" fillId="0" borderId="1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83" fontId="4" fillId="0" borderId="1" xfId="19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9" fontId="2" fillId="0" borderId="0" xfId="21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3" fontId="2" fillId="0" borderId="0" xfId="17" applyNumberFormat="1" applyFont="1" applyBorder="1" applyAlignment="1">
      <alignment horizontal="center"/>
    </xf>
    <xf numFmtId="0" fontId="4" fillId="0" borderId="4" xfId="0" applyFont="1" applyBorder="1" applyAlignment="1" quotePrefix="1">
      <alignment horizontal="left"/>
    </xf>
    <xf numFmtId="3" fontId="2" fillId="0" borderId="0" xfId="19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72" fontId="12" fillId="0" borderId="0" xfId="17" applyNumberFormat="1" applyFont="1" applyBorder="1" applyAlignment="1">
      <alignment horizontal="center"/>
    </xf>
    <xf numFmtId="205" fontId="2" fillId="0" borderId="0" xfId="21" applyNumberFormat="1" applyFont="1" applyBorder="1" applyAlignment="1">
      <alignment/>
    </xf>
    <xf numFmtId="205" fontId="2" fillId="0" borderId="0" xfId="21" applyNumberFormat="1" applyFont="1" applyAlignment="1">
      <alignment/>
    </xf>
    <xf numFmtId="9" fontId="2" fillId="0" borderId="0" xfId="0" applyNumberFormat="1" applyFont="1" applyAlignment="1">
      <alignment/>
    </xf>
    <xf numFmtId="1" fontId="2" fillId="0" borderId="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/>
    </xf>
    <xf numFmtId="205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3" fontId="2" fillId="2" borderId="0" xfId="17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9" fontId="0" fillId="0" borderId="8" xfId="21" applyBorder="1" applyAlignment="1">
      <alignment horizontal="center"/>
    </xf>
    <xf numFmtId="1" fontId="0" fillId="0" borderId="8" xfId="17" applyNumberFormat="1" applyBorder="1" applyAlignment="1">
      <alignment horizontal="center"/>
    </xf>
    <xf numFmtId="0" fontId="2" fillId="0" borderId="5" xfId="0" applyFont="1" applyBorder="1" applyAlignment="1">
      <alignment/>
    </xf>
    <xf numFmtId="1" fontId="0" fillId="0" borderId="9" xfId="17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9" fontId="2" fillId="0" borderId="11" xfId="21" applyFont="1" applyBorder="1" applyAlignment="1">
      <alignment horizontal="center"/>
    </xf>
    <xf numFmtId="181" fontId="2" fillId="0" borderId="11" xfId="21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05" fontId="2" fillId="0" borderId="11" xfId="21" applyNumberFormat="1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9" fontId="0" fillId="0" borderId="11" xfId="21" applyBorder="1" applyAlignment="1">
      <alignment horizontal="center"/>
    </xf>
    <xf numFmtId="1" fontId="0" fillId="0" borderId="11" xfId="17" applyNumberFormat="1" applyBorder="1" applyAlignment="1">
      <alignment horizontal="center"/>
    </xf>
    <xf numFmtId="1" fontId="0" fillId="0" borderId="12" xfId="17" applyNumberForma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9" xfId="0" applyBorder="1" applyAlignment="1">
      <alignment horizontal="center"/>
    </xf>
    <xf numFmtId="205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 quotePrefix="1">
      <alignment horizontal="left"/>
    </xf>
    <xf numFmtId="0" fontId="3" fillId="0" borderId="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71" fontId="0" fillId="3" borderId="16" xfId="17" applyFill="1" applyBorder="1" applyAlignment="1">
      <alignment horizontal="center"/>
    </xf>
    <xf numFmtId="171" fontId="0" fillId="3" borderId="17" xfId="17" applyFill="1" applyBorder="1" applyAlignment="1">
      <alignment horizontal="center"/>
    </xf>
    <xf numFmtId="172" fontId="0" fillId="3" borderId="16" xfId="17" applyNumberFormat="1" applyFill="1" applyBorder="1" applyAlignment="1">
      <alignment horizontal="center"/>
    </xf>
    <xf numFmtId="172" fontId="0" fillId="3" borderId="17" xfId="17" applyNumberForma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172" fontId="0" fillId="3" borderId="18" xfId="17" applyNumberFormat="1" applyFill="1" applyBorder="1" applyAlignment="1">
      <alignment horizontal="center"/>
    </xf>
    <xf numFmtId="9" fontId="0" fillId="0" borderId="11" xfId="21" applyBorder="1" applyAlignment="1">
      <alignment horizontal="center"/>
    </xf>
    <xf numFmtId="9" fontId="0" fillId="0" borderId="8" xfId="21" applyBorder="1" applyAlignment="1">
      <alignment horizontal="center"/>
    </xf>
    <xf numFmtId="1" fontId="0" fillId="0" borderId="12" xfId="17" applyNumberFormat="1" applyBorder="1" applyAlignment="1">
      <alignment horizontal="center"/>
    </xf>
    <xf numFmtId="1" fontId="0" fillId="0" borderId="9" xfId="17" applyNumberFormat="1" applyBorder="1" applyAlignment="1">
      <alignment horizontal="center"/>
    </xf>
    <xf numFmtId="2" fontId="0" fillId="0" borderId="11" xfId="17" applyNumberFormat="1" applyBorder="1" applyAlignment="1">
      <alignment horizontal="center"/>
    </xf>
    <xf numFmtId="2" fontId="0" fillId="0" borderId="8" xfId="17" applyNumberFormat="1" applyBorder="1" applyAlignment="1">
      <alignment horizontal="center"/>
    </xf>
    <xf numFmtId="181" fontId="2" fillId="0" borderId="1" xfId="21" applyNumberFormat="1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DEAL6_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SimulAr\SimulA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Financing B"/>
      <sheetName val="GenGelbudget"/>
      <sheetName val="Final Case FCF B"/>
      <sheetName val="Tablet Sales"/>
      <sheetName val="Sensitivities"/>
      <sheetName val="GelTex Offer"/>
      <sheetName val="Optimistic FCF"/>
      <sheetName val="Pessimistic FCF"/>
      <sheetName val="Value"/>
      <sheetName val="Daily_Cost"/>
      <sheetName val="Mkt_size"/>
    </sheetNames>
    <sheetDataSet>
      <sheetData sheetId="0">
        <row r="24">
          <cell r="D24">
            <v>9</v>
          </cell>
        </row>
        <row r="25">
          <cell r="D25">
            <v>1</v>
          </cell>
        </row>
        <row r="33">
          <cell r="D33">
            <v>0.65</v>
          </cell>
        </row>
        <row r="34">
          <cell r="D34">
            <v>186000</v>
          </cell>
        </row>
        <row r="36">
          <cell r="D36">
            <v>0.9</v>
          </cell>
        </row>
        <row r="37">
          <cell r="D37">
            <v>165000</v>
          </cell>
        </row>
        <row r="38">
          <cell r="D38">
            <v>0.65</v>
          </cell>
        </row>
        <row r="39">
          <cell r="D39">
            <v>0.06</v>
          </cell>
        </row>
        <row r="40">
          <cell r="D40">
            <v>0.45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definedNames>
      <definedName name="discretesim"/>
      <definedName name="normaltsim"/>
      <definedName name="outputv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21"/>
  <sheetViews>
    <sheetView workbookViewId="0" topLeftCell="A1">
      <selection activeCell="C1" sqref="C1"/>
    </sheetView>
  </sheetViews>
  <sheetFormatPr defaultColWidth="11.421875" defaultRowHeight="12.75"/>
  <cols>
    <col min="1" max="2" width="9.140625" style="0" customWidth="1"/>
    <col min="3" max="3" width="15.140625" style="0" customWidth="1"/>
    <col min="4" max="4" width="14.00390625" style="0" bestFit="1" customWidth="1"/>
    <col min="5" max="5" width="9.140625" style="0" customWidth="1"/>
    <col min="6" max="6" width="15.28125" style="0" bestFit="1" customWidth="1"/>
    <col min="7" max="7" width="20.57421875" style="0" bestFit="1" customWidth="1"/>
    <col min="8" max="16384" width="9.140625" style="0" customWidth="1"/>
  </cols>
  <sheetData>
    <row r="3" spans="3:6" ht="12.75">
      <c r="C3" t="s">
        <v>109</v>
      </c>
      <c r="F3" t="s">
        <v>110</v>
      </c>
    </row>
    <row r="4" ht="13.5" thickBot="1"/>
    <row r="5" spans="3:7" ht="13.5" thickBot="1">
      <c r="C5" s="149" t="s">
        <v>93</v>
      </c>
      <c r="D5" s="149"/>
      <c r="F5" s="149" t="s">
        <v>93</v>
      </c>
      <c r="G5" s="149"/>
    </row>
    <row r="6" spans="3:7" ht="12.75">
      <c r="C6" s="133"/>
      <c r="D6" s="133"/>
      <c r="F6" s="133"/>
      <c r="G6" s="133"/>
    </row>
    <row r="7" spans="3:7" ht="12.75">
      <c r="C7" s="134" t="s">
        <v>94</v>
      </c>
      <c r="D7" s="138">
        <v>-103339.979337164</v>
      </c>
      <c r="F7" s="134" t="s">
        <v>94</v>
      </c>
      <c r="G7" s="138">
        <v>-49128.274498712</v>
      </c>
    </row>
    <row r="8" spans="3:7" ht="12.75">
      <c r="C8" s="134" t="s">
        <v>91</v>
      </c>
      <c r="D8" s="138">
        <v>10284.4778926166</v>
      </c>
      <c r="F8" s="134" t="s">
        <v>91</v>
      </c>
      <c r="G8" s="138">
        <v>8148.29097935031</v>
      </c>
    </row>
    <row r="9" spans="3:7" ht="12.75">
      <c r="C9" s="134" t="s">
        <v>95</v>
      </c>
      <c r="D9" s="138">
        <v>317238.676365006</v>
      </c>
      <c r="F9" s="134" t="s">
        <v>95</v>
      </c>
      <c r="G9" s="138">
        <v>122933.895709393</v>
      </c>
    </row>
    <row r="10" spans="3:7" ht="12.75">
      <c r="C10" s="134" t="s">
        <v>96</v>
      </c>
      <c r="D10" s="138">
        <v>1641.69217703417</v>
      </c>
      <c r="F10" s="134" t="s">
        <v>96</v>
      </c>
      <c r="G10" s="138">
        <v>5047.20925212704</v>
      </c>
    </row>
    <row r="11" spans="3:7" ht="12.75">
      <c r="C11" s="134" t="s">
        <v>97</v>
      </c>
      <c r="D11" s="138">
        <v>2359770767.10633</v>
      </c>
      <c r="F11" s="134" t="s">
        <v>97</v>
      </c>
      <c r="G11" s="138">
        <v>787083035.233517</v>
      </c>
    </row>
    <row r="12" spans="3:7" ht="12.75">
      <c r="C12" s="134" t="s">
        <v>98</v>
      </c>
      <c r="D12" s="138">
        <v>48577.4718064488</v>
      </c>
      <c r="F12" s="134" t="s">
        <v>98</v>
      </c>
      <c r="G12" s="138">
        <v>28055.0001823831</v>
      </c>
    </row>
    <row r="13" spans="3:7" ht="12.75">
      <c r="C13" s="134" t="s">
        <v>99</v>
      </c>
      <c r="D13" s="138">
        <v>420578.65570217</v>
      </c>
      <c r="F13" s="134" t="s">
        <v>99</v>
      </c>
      <c r="G13" s="138">
        <v>172062.170208105</v>
      </c>
    </row>
    <row r="14" spans="3:7" ht="12.75">
      <c r="C14" s="134" t="s">
        <v>100</v>
      </c>
      <c r="D14" s="136">
        <v>1.29699335622955</v>
      </c>
      <c r="F14" s="134" t="s">
        <v>100</v>
      </c>
      <c r="G14" s="136">
        <v>0.0245956985987372</v>
      </c>
    </row>
    <row r="15" spans="3:7" ht="12.75">
      <c r="C15" s="134" t="s">
        <v>101</v>
      </c>
      <c r="D15" s="136">
        <v>0.947021298497147</v>
      </c>
      <c r="F15" s="134" t="s">
        <v>101</v>
      </c>
      <c r="G15" s="136">
        <v>0.564869196837203</v>
      </c>
    </row>
    <row r="16" spans="3:7" ht="13.5" thickBot="1">
      <c r="C16" s="135" t="s">
        <v>102</v>
      </c>
      <c r="D16" s="137">
        <v>4.72337753201097</v>
      </c>
      <c r="F16" s="135" t="s">
        <v>102</v>
      </c>
      <c r="G16" s="137">
        <v>3.44305330448816</v>
      </c>
    </row>
    <row r="17" ht="13.5" thickBot="1"/>
    <row r="18" spans="3:7" ht="12.75">
      <c r="C18" s="140" t="s">
        <v>103</v>
      </c>
      <c r="D18" s="141">
        <v>-71064.2687161282</v>
      </c>
      <c r="F18" s="140" t="s">
        <v>103</v>
      </c>
      <c r="G18" s="140">
        <v>-41093.3742062654</v>
      </c>
    </row>
    <row r="19" spans="3:7" ht="12.75">
      <c r="C19" s="134" t="s">
        <v>106</v>
      </c>
      <c r="D19" s="138">
        <v>-820.41292781955</v>
      </c>
      <c r="F19" s="134" t="s">
        <v>104</v>
      </c>
      <c r="G19" s="134">
        <v>-785.902496211782</v>
      </c>
    </row>
    <row r="20" spans="3:7" ht="12.75">
      <c r="C20" s="134" t="s">
        <v>107</v>
      </c>
      <c r="D20" s="138">
        <v>435.233440631555</v>
      </c>
      <c r="F20" s="134" t="s">
        <v>105</v>
      </c>
      <c r="G20" s="134">
        <v>23.2662906106004</v>
      </c>
    </row>
    <row r="21" spans="3:7" ht="13.5" thickBot="1">
      <c r="C21" s="135" t="s">
        <v>108</v>
      </c>
      <c r="D21" s="139">
        <v>151654.877234987</v>
      </c>
      <c r="F21" s="135" t="s">
        <v>108</v>
      </c>
      <c r="G21" s="135">
        <v>82903.4069718927</v>
      </c>
    </row>
  </sheetData>
  <mergeCells count="2">
    <mergeCell ref="C5:D5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M27"/>
  <sheetViews>
    <sheetView workbookViewId="0" topLeftCell="A1">
      <selection activeCell="IV1" sqref="IV1"/>
    </sheetView>
  </sheetViews>
  <sheetFormatPr defaultColWidth="11.421875" defaultRowHeight="12.75"/>
  <cols>
    <col min="1" max="2" width="9.140625" style="0" customWidth="1"/>
    <col min="3" max="3" width="21.140625" style="0" customWidth="1"/>
    <col min="4" max="4" width="9.140625" style="0" customWidth="1"/>
    <col min="5" max="5" width="17.00390625" style="0" customWidth="1"/>
    <col min="6" max="6" width="12.421875" style="0" customWidth="1"/>
    <col min="7" max="7" width="12.28125" style="0" customWidth="1"/>
    <col min="8" max="16384" width="9.140625" style="0" customWidth="1"/>
  </cols>
  <sheetData>
    <row r="5" spans="3:8" ht="12.75">
      <c r="C5" s="98"/>
      <c r="D5" s="98"/>
      <c r="E5" s="98"/>
      <c r="F5" s="98"/>
      <c r="G5" s="98"/>
      <c r="H5" s="98"/>
    </row>
    <row r="6" spans="3:8" ht="12.75">
      <c r="C6" s="98"/>
      <c r="D6" s="98"/>
      <c r="E6" s="98"/>
      <c r="F6" s="98"/>
      <c r="G6" s="98"/>
      <c r="H6" s="98"/>
    </row>
    <row r="7" spans="3:13" ht="12.75">
      <c r="C7" s="109" t="s">
        <v>57</v>
      </c>
      <c r="D7" s="110" t="s">
        <v>91</v>
      </c>
      <c r="E7" s="110" t="s">
        <v>88</v>
      </c>
      <c r="F7" s="110" t="s">
        <v>89</v>
      </c>
      <c r="G7" s="110" t="s">
        <v>90</v>
      </c>
      <c r="H7" s="8"/>
      <c r="M7" s="1"/>
    </row>
    <row r="8" spans="3:13" ht="12.75">
      <c r="C8" s="52" t="s">
        <v>70</v>
      </c>
      <c r="D8" s="111">
        <v>1</v>
      </c>
      <c r="E8" s="111"/>
      <c r="F8" s="121"/>
      <c r="G8" s="101"/>
      <c r="H8" s="98"/>
      <c r="M8" s="1"/>
    </row>
    <row r="9" spans="3:13" ht="12.75">
      <c r="C9" s="55" t="s">
        <v>46</v>
      </c>
      <c r="D9" s="112">
        <v>0</v>
      </c>
      <c r="E9" s="117">
        <f>STDEV(0,1,2)</f>
        <v>1</v>
      </c>
      <c r="F9" s="122">
        <v>0</v>
      </c>
      <c r="G9" s="102">
        <v>2</v>
      </c>
      <c r="H9" s="98"/>
      <c r="M9" s="1"/>
    </row>
    <row r="10" spans="3:13" ht="12.75">
      <c r="C10" s="57" t="s">
        <v>39</v>
      </c>
      <c r="D10" s="113">
        <v>0.43</v>
      </c>
      <c r="E10" s="118">
        <f>STDEV(50%,20%,59%)</f>
        <v>0.20420577856662128</v>
      </c>
      <c r="F10" s="123">
        <v>0</v>
      </c>
      <c r="G10" s="103">
        <v>1</v>
      </c>
      <c r="H10" s="98"/>
      <c r="M10" s="1"/>
    </row>
    <row r="11" spans="3:13" ht="12.75">
      <c r="C11" s="55" t="s">
        <v>17</v>
      </c>
      <c r="D11" s="114">
        <v>1000</v>
      </c>
      <c r="E11" s="112">
        <f>STDEV(1100,600,1300)</f>
        <v>360.5551275463989</v>
      </c>
      <c r="F11" s="122">
        <v>0</v>
      </c>
      <c r="G11" s="102"/>
      <c r="H11" s="98"/>
      <c r="M11" s="15"/>
    </row>
    <row r="12" spans="3:8" ht="12.75">
      <c r="C12" s="104" t="s">
        <v>72</v>
      </c>
      <c r="D12" s="113">
        <v>0.87</v>
      </c>
      <c r="E12" s="118">
        <f>STDEV(92%,75%,94%)</f>
        <v>0.10440306508910613</v>
      </c>
      <c r="F12" s="124">
        <v>0</v>
      </c>
      <c r="G12" s="105">
        <v>1</v>
      </c>
      <c r="H12" s="98"/>
    </row>
    <row r="13" spans="3:8" ht="12.75">
      <c r="C13" s="57" t="s">
        <v>69</v>
      </c>
      <c r="D13" s="113">
        <v>0.7</v>
      </c>
      <c r="E13" s="119">
        <v>0.05</v>
      </c>
      <c r="F13" s="123">
        <v>0</v>
      </c>
      <c r="G13" s="103">
        <v>1</v>
      </c>
      <c r="H13" s="98"/>
    </row>
    <row r="14" spans="3:8" ht="12.75">
      <c r="C14" s="104" t="s">
        <v>71</v>
      </c>
      <c r="D14" s="115">
        <f>AVERAGE(87,107,93)/100</f>
        <v>0.9566666666666667</v>
      </c>
      <c r="E14" s="115">
        <f>STDEV(87,107,93)/100</f>
        <v>0.10263202878893798</v>
      </c>
      <c r="F14" s="125">
        <v>0</v>
      </c>
      <c r="G14" s="106">
        <v>2</v>
      </c>
      <c r="H14" s="98"/>
    </row>
    <row r="15" spans="3:8" ht="12.75">
      <c r="C15" s="107" t="s">
        <v>73</v>
      </c>
      <c r="D15" s="116">
        <v>14</v>
      </c>
      <c r="E15" s="120">
        <f>STDEV(10,13,20)</f>
        <v>5.131601439446882</v>
      </c>
      <c r="F15" s="126">
        <v>10</v>
      </c>
      <c r="G15" s="108">
        <v>20</v>
      </c>
      <c r="H15" s="98"/>
    </row>
    <row r="16" spans="3:8" ht="12.75">
      <c r="C16" s="98"/>
      <c r="D16" s="99"/>
      <c r="E16" s="99"/>
      <c r="F16" s="99"/>
      <c r="G16" s="99"/>
      <c r="H16" s="98"/>
    </row>
    <row r="17" spans="3:8" ht="12.75">
      <c r="C17" s="130" t="s">
        <v>48</v>
      </c>
      <c r="D17" s="131" t="s">
        <v>92</v>
      </c>
      <c r="E17" s="50">
        <v>1</v>
      </c>
      <c r="F17" s="50">
        <v>0</v>
      </c>
      <c r="G17" s="132"/>
      <c r="H17" s="98"/>
    </row>
    <row r="18" spans="3:8" ht="12.75">
      <c r="C18" s="55" t="s">
        <v>56</v>
      </c>
      <c r="D18" s="117"/>
      <c r="E18" s="113">
        <v>0.65</v>
      </c>
      <c r="F18" s="119">
        <f>1-E18</f>
        <v>0.35</v>
      </c>
      <c r="G18" s="102"/>
      <c r="H18" s="98"/>
    </row>
    <row r="19" spans="3:8" ht="12.75">
      <c r="C19" s="104" t="s">
        <v>12</v>
      </c>
      <c r="D19" s="117"/>
      <c r="E19" s="119">
        <v>0.08</v>
      </c>
      <c r="F19" s="117"/>
      <c r="G19" s="102"/>
      <c r="H19" s="98"/>
    </row>
    <row r="20" spans="3:8" ht="12.75">
      <c r="C20" s="104" t="s">
        <v>13</v>
      </c>
      <c r="D20" s="117"/>
      <c r="E20" s="119">
        <v>0.06</v>
      </c>
      <c r="F20" s="117"/>
      <c r="G20" s="102"/>
      <c r="H20" s="98"/>
    </row>
    <row r="21" spans="3:8" ht="12.75">
      <c r="C21" s="127" t="s">
        <v>40</v>
      </c>
      <c r="D21" s="116"/>
      <c r="E21" s="129">
        <f>18.9%</f>
        <v>0.18899999999999997</v>
      </c>
      <c r="F21" s="116"/>
      <c r="G21" s="128"/>
      <c r="H21" s="98"/>
    </row>
    <row r="22" spans="3:8" ht="12.75">
      <c r="C22" s="98"/>
      <c r="D22" s="98"/>
      <c r="E22" s="98"/>
      <c r="F22" s="98"/>
      <c r="G22" s="98"/>
      <c r="H22" s="98"/>
    </row>
    <row r="23" spans="3:8" ht="12.75">
      <c r="C23" s="98"/>
      <c r="D23" s="98"/>
      <c r="E23" s="98"/>
      <c r="F23" s="98"/>
      <c r="G23" s="98"/>
      <c r="H23" s="98"/>
    </row>
    <row r="24" spans="3:8" ht="12.75">
      <c r="C24" s="98"/>
      <c r="D24" s="98"/>
      <c r="E24" s="98"/>
      <c r="F24" s="98"/>
      <c r="G24" s="98"/>
      <c r="H24" s="98"/>
    </row>
    <row r="25" spans="3:8" ht="12.75">
      <c r="C25" s="98"/>
      <c r="D25" s="98"/>
      <c r="E25" s="98"/>
      <c r="F25" s="98"/>
      <c r="G25" s="98"/>
      <c r="H25" s="98"/>
    </row>
    <row r="26" spans="3:8" ht="12.75">
      <c r="C26" s="98"/>
      <c r="D26" s="98"/>
      <c r="E26" s="98"/>
      <c r="F26" s="98"/>
      <c r="G26" s="98"/>
      <c r="H26" s="98"/>
    </row>
    <row r="27" spans="3:8" ht="12.75">
      <c r="C27" s="98"/>
      <c r="D27" s="98"/>
      <c r="E27" s="98"/>
      <c r="F27" s="98"/>
      <c r="G27" s="98"/>
      <c r="H27" s="9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9"/>
  <sheetViews>
    <sheetView tabSelected="1" zoomScale="65" zoomScaleNormal="65" workbookViewId="0" topLeftCell="A1">
      <selection activeCell="A10" sqref="A10"/>
    </sheetView>
  </sheetViews>
  <sheetFormatPr defaultColWidth="11.421875" defaultRowHeight="12.75"/>
  <cols>
    <col min="1" max="1" width="21.8515625" style="1" customWidth="1"/>
    <col min="2" max="2" width="11.7109375" style="1" customWidth="1"/>
    <col min="3" max="3" width="11.7109375" style="3" customWidth="1"/>
    <col min="4" max="5" width="11.7109375" style="1" customWidth="1"/>
    <col min="6" max="6" width="13.28125" style="1" customWidth="1"/>
    <col min="7" max="7" width="11.7109375" style="1" customWidth="1"/>
    <col min="8" max="8" width="12.00390625" style="1" customWidth="1"/>
    <col min="9" max="9" width="11.00390625" style="1" customWidth="1"/>
    <col min="10" max="12" width="9.421875" style="1" customWidth="1"/>
    <col min="13" max="13" width="10.28125" style="1" customWidth="1"/>
    <col min="14" max="14" width="11.28125" style="1" customWidth="1"/>
    <col min="15" max="15" width="11.57421875" style="1" bestFit="1" customWidth="1"/>
    <col min="16" max="23" width="9.421875" style="1" customWidth="1"/>
    <col min="24" max="16384" width="8.8515625" style="1" customWidth="1"/>
  </cols>
  <sheetData>
    <row r="1" spans="4:6" ht="18.75">
      <c r="D1" s="4"/>
      <c r="E1" s="76" t="s">
        <v>55</v>
      </c>
      <c r="F1" s="4"/>
    </row>
    <row r="2" spans="1:7" ht="12.75">
      <c r="A2" s="61" t="s">
        <v>76</v>
      </c>
      <c r="C2" s="63">
        <v>27500</v>
      </c>
      <c r="D2" s="4"/>
      <c r="E2" s="62" t="s">
        <v>77</v>
      </c>
      <c r="F2" s="4"/>
      <c r="G2" s="64">
        <v>0.5</v>
      </c>
    </row>
    <row r="3" spans="1:27" ht="12.75">
      <c r="A3" s="150" t="s">
        <v>57</v>
      </c>
      <c r="B3" s="151"/>
      <c r="C3" s="151"/>
      <c r="D3" s="151"/>
      <c r="E3" s="151"/>
      <c r="F3" s="151"/>
      <c r="G3" s="1" t="s">
        <v>87</v>
      </c>
      <c r="H3" s="48" t="s">
        <v>48</v>
      </c>
      <c r="I3" s="4"/>
      <c r="J3" s="74">
        <v>1</v>
      </c>
      <c r="K3" s="74">
        <v>0</v>
      </c>
      <c r="M3" s="68"/>
      <c r="N3" s="69" t="s">
        <v>75</v>
      </c>
      <c r="O3" s="70"/>
      <c r="Q3" s="150" t="s">
        <v>57</v>
      </c>
      <c r="R3" s="151"/>
      <c r="S3" s="151"/>
      <c r="T3" s="151"/>
      <c r="U3" s="151"/>
      <c r="V3" s="151"/>
      <c r="W3" s="1" t="s">
        <v>87</v>
      </c>
      <c r="X3" s="48" t="s">
        <v>48</v>
      </c>
      <c r="Y3" s="4"/>
      <c r="Z3" s="74">
        <v>1</v>
      </c>
      <c r="AA3" s="74">
        <v>0</v>
      </c>
    </row>
    <row r="4" spans="1:27" ht="12.75">
      <c r="A4" s="52" t="s">
        <v>70</v>
      </c>
      <c r="B4" s="50">
        <v>1</v>
      </c>
      <c r="C4" s="53"/>
      <c r="D4" s="54" t="s">
        <v>72</v>
      </c>
      <c r="E4" s="54"/>
      <c r="F4" s="6" t="e">
        <f>[2]!normaltsim(BestEstimateExhibits34!$V$4,BestEstimateExhibits34!$W$4,75%,94%)</f>
        <v>#NAME?</v>
      </c>
      <c r="G4" s="89"/>
      <c r="H4" s="47" t="s">
        <v>56</v>
      </c>
      <c r="J4" s="6">
        <v>0.65</v>
      </c>
      <c r="K4" s="42">
        <f>1-J4</f>
        <v>0.35</v>
      </c>
      <c r="M4" s="83" t="s">
        <v>86</v>
      </c>
      <c r="N4" s="8"/>
      <c r="O4" s="65" t="e">
        <f>B62</f>
        <v>#NAME?</v>
      </c>
      <c r="Q4" s="52" t="s">
        <v>70</v>
      </c>
      <c r="R4" s="50">
        <v>1</v>
      </c>
      <c r="S4" s="53"/>
      <c r="T4" s="54" t="s">
        <v>72</v>
      </c>
      <c r="U4" s="54"/>
      <c r="V4" s="6">
        <v>0.87</v>
      </c>
      <c r="W4" s="89">
        <f>STDEV(92%,75%,94%)</f>
        <v>0.10440306508910613</v>
      </c>
      <c r="X4" s="47" t="s">
        <v>56</v>
      </c>
      <c r="Z4" s="6">
        <v>0.65</v>
      </c>
      <c r="AA4" s="42">
        <f>1-Z4</f>
        <v>0.35</v>
      </c>
    </row>
    <row r="5" spans="1:26" ht="12.75">
      <c r="A5" s="55" t="s">
        <v>46</v>
      </c>
      <c r="B5" s="7" t="e">
        <f>[2]!discretesim(0,1,2,,,,0.7,0.2,0.1,,,)</f>
        <v>#NAME?</v>
      </c>
      <c r="C5" s="11"/>
      <c r="D5" s="56" t="s">
        <v>69</v>
      </c>
      <c r="E5" s="8"/>
      <c r="F5" s="6" t="e">
        <f>[2]!normaltsim(BestEstimateExhibits34!$V$5,BestEstimateExhibits34!$W$5,55%,85%)</f>
        <v>#NAME?</v>
      </c>
      <c r="G5" s="90"/>
      <c r="H5" s="8" t="s">
        <v>12</v>
      </c>
      <c r="J5" s="42">
        <v>0.08</v>
      </c>
      <c r="M5" s="71" t="s">
        <v>78</v>
      </c>
      <c r="N5" s="8"/>
      <c r="O5" s="73" t="e">
        <f>C64</f>
        <v>#NAME?</v>
      </c>
      <c r="Q5" s="55" t="s">
        <v>46</v>
      </c>
      <c r="R5" s="7">
        <v>0</v>
      </c>
      <c r="S5" s="11">
        <f>STDEV(0,1,2)</f>
        <v>1</v>
      </c>
      <c r="T5" s="56" t="s">
        <v>69</v>
      </c>
      <c r="U5" s="8"/>
      <c r="V5" s="6">
        <v>0.7</v>
      </c>
      <c r="W5" s="90">
        <v>0.05</v>
      </c>
      <c r="X5" s="8" t="s">
        <v>12</v>
      </c>
      <c r="Z5" s="42">
        <v>0.08</v>
      </c>
    </row>
    <row r="6" spans="1:29" ht="12.75">
      <c r="A6" s="57" t="s">
        <v>39</v>
      </c>
      <c r="B6" s="6" t="e">
        <f>[2]!normaltsim(BestEstimateExhibits34!$R$6,BestEstimateExhibits34!$S$6,20%,59%)</f>
        <v>#NAME?</v>
      </c>
      <c r="C6" s="88"/>
      <c r="D6" s="8" t="s">
        <v>71</v>
      </c>
      <c r="E6" s="8"/>
      <c r="F6" s="94" t="e">
        <f>[2]!normaltsim(BestEstimateExhibits34!$V$6,BestEstimateExhibits34!$W$6,0.87,1.07)</f>
        <v>#NAME?</v>
      </c>
      <c r="G6" s="92"/>
      <c r="H6" s="8" t="s">
        <v>13</v>
      </c>
      <c r="J6" s="42">
        <v>0.06</v>
      </c>
      <c r="M6" s="72" t="s">
        <v>79</v>
      </c>
      <c r="N6" s="59"/>
      <c r="O6" s="73" t="e">
        <f>D62</f>
        <v>#NAME?</v>
      </c>
      <c r="Q6" s="57" t="s">
        <v>39</v>
      </c>
      <c r="R6" s="6">
        <v>0.43</v>
      </c>
      <c r="S6" s="88">
        <f>STDEV(50%,20%,59%)</f>
        <v>0.20420577856662128</v>
      </c>
      <c r="T6" s="8" t="s">
        <v>71</v>
      </c>
      <c r="U6" s="8"/>
      <c r="V6" s="94">
        <f>AVERAGE(87,107,93)/100</f>
        <v>0.9566666666666667</v>
      </c>
      <c r="W6" s="92">
        <f>STDEV(87,107,93)/100</f>
        <v>0.10263202878893798</v>
      </c>
      <c r="X6" s="8" t="s">
        <v>13</v>
      </c>
      <c r="Z6" s="42">
        <v>0.06</v>
      </c>
      <c r="AC6" s="96"/>
    </row>
    <row r="7" spans="1:28" ht="12.75">
      <c r="A7" s="58" t="s">
        <v>17</v>
      </c>
      <c r="B7" s="148" t="e">
        <f>[2]!normaltsim(BestEstimateExhibits34!$R$7,BestEstimateExhibits34!$S$7,600,1300)</f>
        <v>#NAME?</v>
      </c>
      <c r="C7" s="91"/>
      <c r="D7" s="59" t="s">
        <v>73</v>
      </c>
      <c r="E7" s="59"/>
      <c r="F7" s="7" t="e">
        <f>[2]!normaltsim(BestEstimateExhibits34!$V$7,BestEstimateExhibits34!$W$7,10,20)</f>
        <v>#NAME?</v>
      </c>
      <c r="G7" s="93"/>
      <c r="H7" s="5" t="s">
        <v>40</v>
      </c>
      <c r="J7" s="95">
        <v>0.189</v>
      </c>
      <c r="L7" s="15">
        <f>STDEV(14.75%,23%,20%,25%)</f>
        <v>0.04459890693727818</v>
      </c>
      <c r="Q7" s="58" t="s">
        <v>17</v>
      </c>
      <c r="R7" s="60">
        <v>1000</v>
      </c>
      <c r="S7" s="91">
        <f>STDEV(1100,600,1300)</f>
        <v>360.5551275463989</v>
      </c>
      <c r="T7" s="59" t="s">
        <v>73</v>
      </c>
      <c r="U7" s="59"/>
      <c r="V7" s="50">
        <v>14</v>
      </c>
      <c r="W7" s="93">
        <f>STDEV(10,13,20)</f>
        <v>5.131601439446882</v>
      </c>
      <c r="X7" s="5" t="s">
        <v>40</v>
      </c>
      <c r="Z7" s="95">
        <v>0.189</v>
      </c>
      <c r="AB7" s="15">
        <f>STDEV(14.75%,23%,20%,25%)</f>
        <v>0.04459890693727818</v>
      </c>
    </row>
    <row r="8" spans="3:7" ht="12.75">
      <c r="C8" s="1"/>
      <c r="E8" s="8"/>
      <c r="G8" s="15"/>
    </row>
    <row r="9" spans="1:24" ht="12.75">
      <c r="A9" s="49" t="s">
        <v>54</v>
      </c>
      <c r="B9" s="8"/>
      <c r="C9" s="9">
        <v>1997</v>
      </c>
      <c r="D9" s="10">
        <v>1998</v>
      </c>
      <c r="E9" s="9">
        <v>1999</v>
      </c>
      <c r="F9" s="10">
        <v>2000</v>
      </c>
      <c r="G9" s="9">
        <v>2001</v>
      </c>
      <c r="H9" s="10">
        <v>2002</v>
      </c>
      <c r="I9" s="9">
        <v>2003</v>
      </c>
      <c r="J9" s="10">
        <v>2004</v>
      </c>
      <c r="K9" s="9">
        <v>2005</v>
      </c>
      <c r="L9" s="10">
        <v>2006</v>
      </c>
      <c r="M9" s="9">
        <v>2007</v>
      </c>
      <c r="N9" s="10">
        <v>2008</v>
      </c>
      <c r="O9" s="9">
        <v>2009</v>
      </c>
      <c r="P9" s="10">
        <v>2010</v>
      </c>
      <c r="Q9" s="9">
        <v>2011</v>
      </c>
      <c r="R9" s="10">
        <v>2012</v>
      </c>
      <c r="S9" s="9">
        <v>2013</v>
      </c>
      <c r="T9" s="10">
        <v>2014</v>
      </c>
      <c r="U9" s="9">
        <v>2015</v>
      </c>
      <c r="V9" s="10">
        <v>2016</v>
      </c>
      <c r="W9" s="9">
        <v>2017</v>
      </c>
      <c r="X9" s="10">
        <v>2018</v>
      </c>
    </row>
    <row r="10" spans="1:24" ht="12.75">
      <c r="A10" s="46" t="s">
        <v>53</v>
      </c>
      <c r="B10" s="11"/>
      <c r="C10" s="12" t="e">
        <f>0*$B$6</f>
        <v>#NAME?</v>
      </c>
      <c r="D10" s="12" t="e">
        <f>0*$B$6</f>
        <v>#NAME?</v>
      </c>
      <c r="E10" s="12" t="e">
        <f>0.1*$B$6</f>
        <v>#NAME?</v>
      </c>
      <c r="F10" s="12" t="e">
        <f>0.2*$B$6</f>
        <v>#NAME?</v>
      </c>
      <c r="G10" s="12" t="e">
        <f>0.5*$B$6</f>
        <v>#NAME?</v>
      </c>
      <c r="H10" s="12" t="e">
        <f>0.8*$B$6</f>
        <v>#NAME?</v>
      </c>
      <c r="I10" s="12" t="e">
        <f>1*$B$6</f>
        <v>#NAME?</v>
      </c>
      <c r="J10" s="12" t="e">
        <f>1*$B$6</f>
        <v>#NAME?</v>
      </c>
      <c r="K10" s="12" t="e">
        <f>1*$B$6</f>
        <v>#NAME?</v>
      </c>
      <c r="L10" s="12" t="e">
        <f>1*$B$6</f>
        <v>#NAME?</v>
      </c>
      <c r="M10" s="75" t="e">
        <f>0.98*B6</f>
        <v>#NAME?</v>
      </c>
      <c r="N10" s="12" t="e">
        <f>0.95*$B$6</f>
        <v>#NAME?</v>
      </c>
      <c r="O10" s="12" t="e">
        <f>0.93*B6</f>
        <v>#NAME?</v>
      </c>
      <c r="P10" s="12" t="e">
        <f>0.9*B6</f>
        <v>#NAME?</v>
      </c>
      <c r="Q10" s="12" t="e">
        <f>0.86*B6</f>
        <v>#NAME?</v>
      </c>
      <c r="R10" s="12" t="e">
        <f>0.8*B6</f>
        <v>#NAME?</v>
      </c>
      <c r="S10" s="12" t="e">
        <f>0.72*B6</f>
        <v>#NAME?</v>
      </c>
      <c r="T10" s="12" t="e">
        <f>0.6*B6</f>
        <v>#NAME?</v>
      </c>
      <c r="U10" s="12" t="e">
        <f>0.48*B6</f>
        <v>#NAME?</v>
      </c>
      <c r="V10" s="12" t="e">
        <f>0.35*B6</f>
        <v>#NAME?</v>
      </c>
      <c r="W10" s="12" t="e">
        <f>0.22*B6</f>
        <v>#NAME?</v>
      </c>
      <c r="X10" s="12" t="e">
        <f>0.08*B6</f>
        <v>#NAME?</v>
      </c>
    </row>
    <row r="11" spans="1:24" ht="13.5" customHeight="1">
      <c r="A11" s="46" t="s">
        <v>49</v>
      </c>
      <c r="B11" s="11"/>
      <c r="C11" s="12">
        <v>0</v>
      </c>
      <c r="D11" s="12">
        <v>0</v>
      </c>
      <c r="E11" s="12" t="e">
        <f aca="true" t="shared" si="0" ref="E11:X11">IF($B$5=0,E10,IF($B$5=1,D10,C10))</f>
        <v>#NAME?</v>
      </c>
      <c r="F11" s="12" t="e">
        <f t="shared" si="0"/>
        <v>#NAME?</v>
      </c>
      <c r="G11" s="12" t="e">
        <f t="shared" si="0"/>
        <v>#NAME?</v>
      </c>
      <c r="H11" s="12" t="e">
        <f t="shared" si="0"/>
        <v>#NAME?</v>
      </c>
      <c r="I11" s="12" t="e">
        <f t="shared" si="0"/>
        <v>#NAME?</v>
      </c>
      <c r="J11" s="12" t="e">
        <f t="shared" si="0"/>
        <v>#NAME?</v>
      </c>
      <c r="K11" s="12" t="e">
        <f t="shared" si="0"/>
        <v>#NAME?</v>
      </c>
      <c r="L11" s="12" t="e">
        <f t="shared" si="0"/>
        <v>#NAME?</v>
      </c>
      <c r="M11" s="12" t="e">
        <f t="shared" si="0"/>
        <v>#NAME?</v>
      </c>
      <c r="N11" s="12" t="e">
        <f t="shared" si="0"/>
        <v>#NAME?</v>
      </c>
      <c r="O11" s="12" t="e">
        <f t="shared" si="0"/>
        <v>#NAME?</v>
      </c>
      <c r="P11" s="12" t="e">
        <f t="shared" si="0"/>
        <v>#NAME?</v>
      </c>
      <c r="Q11" s="12" t="e">
        <f t="shared" si="0"/>
        <v>#NAME?</v>
      </c>
      <c r="R11" s="12" t="e">
        <f t="shared" si="0"/>
        <v>#NAME?</v>
      </c>
      <c r="S11" s="12" t="e">
        <f t="shared" si="0"/>
        <v>#NAME?</v>
      </c>
      <c r="T11" s="12" t="e">
        <f t="shared" si="0"/>
        <v>#NAME?</v>
      </c>
      <c r="U11" s="12" t="e">
        <f t="shared" si="0"/>
        <v>#NAME?</v>
      </c>
      <c r="V11" s="12" t="e">
        <f t="shared" si="0"/>
        <v>#NAME?</v>
      </c>
      <c r="W11" s="12" t="e">
        <f t="shared" si="0"/>
        <v>#NAME?</v>
      </c>
      <c r="X11" s="12" t="e">
        <f t="shared" si="0"/>
        <v>#NAME?</v>
      </c>
    </row>
    <row r="12" spans="1:53" ht="13.5" customHeight="1">
      <c r="A12" s="8" t="s">
        <v>50</v>
      </c>
      <c r="B12" s="11"/>
      <c r="C12" s="17">
        <v>210000</v>
      </c>
      <c r="D12" s="18">
        <f aca="true" t="shared" si="1" ref="D12:X12">C12*(1+$J$5)</f>
        <v>226800.00000000003</v>
      </c>
      <c r="E12" s="18">
        <f t="shared" si="1"/>
        <v>244944.00000000006</v>
      </c>
      <c r="F12" s="18">
        <f t="shared" si="1"/>
        <v>264539.5200000001</v>
      </c>
      <c r="G12" s="18">
        <f t="shared" si="1"/>
        <v>285702.6816000001</v>
      </c>
      <c r="H12" s="18">
        <f t="shared" si="1"/>
        <v>308558.89612800017</v>
      </c>
      <c r="I12" s="18">
        <f t="shared" si="1"/>
        <v>333243.6078182402</v>
      </c>
      <c r="J12" s="18">
        <f t="shared" si="1"/>
        <v>359903.09644369944</v>
      </c>
      <c r="K12" s="18">
        <f t="shared" si="1"/>
        <v>388695.34415919543</v>
      </c>
      <c r="L12" s="18">
        <f t="shared" si="1"/>
        <v>419790.9716919311</v>
      </c>
      <c r="M12" s="18">
        <f t="shared" si="1"/>
        <v>453374.24942728557</v>
      </c>
      <c r="N12" s="18">
        <f t="shared" si="1"/>
        <v>489644.18938146846</v>
      </c>
      <c r="O12" s="18">
        <f t="shared" si="1"/>
        <v>528815.7245319859</v>
      </c>
      <c r="P12" s="18">
        <f t="shared" si="1"/>
        <v>571120.9824945448</v>
      </c>
      <c r="Q12" s="18">
        <f t="shared" si="1"/>
        <v>616810.6610941085</v>
      </c>
      <c r="R12" s="18">
        <f t="shared" si="1"/>
        <v>666155.5139816372</v>
      </c>
      <c r="S12" s="18">
        <f t="shared" si="1"/>
        <v>719447.9551001682</v>
      </c>
      <c r="T12" s="18">
        <f t="shared" si="1"/>
        <v>777003.7915081817</v>
      </c>
      <c r="U12" s="18">
        <f t="shared" si="1"/>
        <v>839164.0948288363</v>
      </c>
      <c r="V12" s="18">
        <f t="shared" si="1"/>
        <v>906297.2224151433</v>
      </c>
      <c r="W12" s="18">
        <f t="shared" si="1"/>
        <v>978801.0002083548</v>
      </c>
      <c r="X12" s="18">
        <f t="shared" si="1"/>
        <v>1057105.0802250232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</row>
    <row r="13" spans="1:53" ht="13.5" customHeight="1">
      <c r="A13" s="8" t="s">
        <v>10</v>
      </c>
      <c r="B13" s="11"/>
      <c r="C13" s="16">
        <f>D13</f>
        <v>0.9</v>
      </c>
      <c r="D13" s="20">
        <v>0.9</v>
      </c>
      <c r="E13" s="20">
        <v>0.9</v>
      </c>
      <c r="F13" s="20">
        <v>0.9</v>
      </c>
      <c r="G13" s="20">
        <v>0.9</v>
      </c>
      <c r="H13" s="20">
        <v>0.9</v>
      </c>
      <c r="I13" s="20">
        <v>0.9</v>
      </c>
      <c r="J13" s="20">
        <v>0.9</v>
      </c>
      <c r="K13" s="20">
        <v>0.9</v>
      </c>
      <c r="L13" s="20">
        <v>0.9</v>
      </c>
      <c r="M13" s="20">
        <v>0.9</v>
      </c>
      <c r="N13" s="20">
        <v>0.9</v>
      </c>
      <c r="O13" s="20">
        <v>0.9</v>
      </c>
      <c r="P13" s="20">
        <v>0.9</v>
      </c>
      <c r="Q13" s="20">
        <v>0.9</v>
      </c>
      <c r="R13" s="20">
        <v>0.9</v>
      </c>
      <c r="S13" s="20">
        <v>0.9</v>
      </c>
      <c r="T13" s="20">
        <v>0.9</v>
      </c>
      <c r="U13" s="20">
        <v>0.9</v>
      </c>
      <c r="V13" s="20">
        <v>0.9</v>
      </c>
      <c r="W13" s="20">
        <v>0.9</v>
      </c>
      <c r="X13" s="20">
        <v>0.9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</row>
    <row r="14" spans="1:53" ht="13.5" customHeight="1">
      <c r="A14" s="8" t="s">
        <v>14</v>
      </c>
      <c r="B14" s="11"/>
      <c r="C14" s="21">
        <f aca="true" t="shared" si="2" ref="C14:X14">C12*C13*C11</f>
        <v>0</v>
      </c>
      <c r="D14" s="21">
        <f t="shared" si="2"/>
        <v>0</v>
      </c>
      <c r="E14" s="21" t="e">
        <f t="shared" si="2"/>
        <v>#NAME?</v>
      </c>
      <c r="F14" s="21" t="e">
        <f t="shared" si="2"/>
        <v>#NAME?</v>
      </c>
      <c r="G14" s="21" t="e">
        <f t="shared" si="2"/>
        <v>#NAME?</v>
      </c>
      <c r="H14" s="21" t="e">
        <f t="shared" si="2"/>
        <v>#NAME?</v>
      </c>
      <c r="I14" s="21" t="e">
        <f t="shared" si="2"/>
        <v>#NAME?</v>
      </c>
      <c r="J14" s="21" t="e">
        <f t="shared" si="2"/>
        <v>#NAME?</v>
      </c>
      <c r="K14" s="21" t="e">
        <f t="shared" si="2"/>
        <v>#NAME?</v>
      </c>
      <c r="L14" s="21" t="e">
        <f t="shared" si="2"/>
        <v>#NAME?</v>
      </c>
      <c r="M14" s="21" t="e">
        <f t="shared" si="2"/>
        <v>#NAME?</v>
      </c>
      <c r="N14" s="21" t="e">
        <f t="shared" si="2"/>
        <v>#NAME?</v>
      </c>
      <c r="O14" s="21" t="e">
        <f t="shared" si="2"/>
        <v>#NAME?</v>
      </c>
      <c r="P14" s="21" t="e">
        <f t="shared" si="2"/>
        <v>#NAME?</v>
      </c>
      <c r="Q14" s="21" t="e">
        <f t="shared" si="2"/>
        <v>#NAME?</v>
      </c>
      <c r="R14" s="21" t="e">
        <f t="shared" si="2"/>
        <v>#NAME?</v>
      </c>
      <c r="S14" s="21" t="e">
        <f t="shared" si="2"/>
        <v>#NAME?</v>
      </c>
      <c r="T14" s="21" t="e">
        <f t="shared" si="2"/>
        <v>#NAME?</v>
      </c>
      <c r="U14" s="21" t="e">
        <f t="shared" si="2"/>
        <v>#NAME?</v>
      </c>
      <c r="V14" s="21" t="e">
        <f t="shared" si="2"/>
        <v>#NAME?</v>
      </c>
      <c r="W14" s="21" t="e">
        <f t="shared" si="2"/>
        <v>#NAME?</v>
      </c>
      <c r="X14" s="21" t="e">
        <f t="shared" si="2"/>
        <v>#NAME?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</row>
    <row r="15" spans="1:53" ht="13.5" customHeight="1">
      <c r="A15" s="46" t="s">
        <v>51</v>
      </c>
      <c r="B15" s="11"/>
      <c r="C15" s="22">
        <v>165000</v>
      </c>
      <c r="D15" s="23">
        <f aca="true" t="shared" si="3" ref="D15:X15">C15*(1+$J$6)</f>
        <v>174900</v>
      </c>
      <c r="E15" s="23">
        <f t="shared" si="3"/>
        <v>185394</v>
      </c>
      <c r="F15" s="23">
        <f t="shared" si="3"/>
        <v>196517.64</v>
      </c>
      <c r="G15" s="23">
        <f t="shared" si="3"/>
        <v>208308.69840000002</v>
      </c>
      <c r="H15" s="23">
        <f t="shared" si="3"/>
        <v>220807.22030400005</v>
      </c>
      <c r="I15" s="23">
        <f t="shared" si="3"/>
        <v>234055.65352224006</v>
      </c>
      <c r="J15" s="23">
        <f t="shared" si="3"/>
        <v>248098.99273357447</v>
      </c>
      <c r="K15" s="23">
        <f t="shared" si="3"/>
        <v>262984.93229758897</v>
      </c>
      <c r="L15" s="23">
        <f t="shared" si="3"/>
        <v>278764.02823544433</v>
      </c>
      <c r="M15" s="23">
        <f t="shared" si="3"/>
        <v>295489.869929571</v>
      </c>
      <c r="N15" s="23">
        <f t="shared" si="3"/>
        <v>313219.2621253453</v>
      </c>
      <c r="O15" s="23">
        <f t="shared" si="3"/>
        <v>332012.41785286606</v>
      </c>
      <c r="P15" s="23">
        <f t="shared" si="3"/>
        <v>351933.162924038</v>
      </c>
      <c r="Q15" s="23">
        <f t="shared" si="3"/>
        <v>373049.1526994803</v>
      </c>
      <c r="R15" s="23">
        <f t="shared" si="3"/>
        <v>395432.10186144913</v>
      </c>
      <c r="S15" s="23">
        <f t="shared" si="3"/>
        <v>419158.0279731361</v>
      </c>
      <c r="T15" s="23">
        <f t="shared" si="3"/>
        <v>444307.5096515243</v>
      </c>
      <c r="U15" s="23">
        <f t="shared" si="3"/>
        <v>470965.9602306158</v>
      </c>
      <c r="V15" s="23">
        <f t="shared" si="3"/>
        <v>499223.9178444528</v>
      </c>
      <c r="W15" s="23">
        <f t="shared" si="3"/>
        <v>529177.35291512</v>
      </c>
      <c r="X15" s="23">
        <f t="shared" si="3"/>
        <v>560927.9940900272</v>
      </c>
      <c r="Y15" s="23"/>
      <c r="Z15" s="23"/>
      <c r="AA15" s="23"/>
      <c r="AB15" s="23"/>
      <c r="AC15" s="23"/>
      <c r="AD15" s="23"/>
      <c r="AE15" s="23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</row>
    <row r="16" spans="1:53" ht="13.5" customHeight="1">
      <c r="A16" s="46" t="s">
        <v>52</v>
      </c>
      <c r="B16" s="11"/>
      <c r="C16" s="16">
        <v>0.7</v>
      </c>
      <c r="D16" s="16">
        <v>0.7</v>
      </c>
      <c r="E16" s="16">
        <v>0.7</v>
      </c>
      <c r="F16" s="16">
        <v>0.7</v>
      </c>
      <c r="G16" s="16">
        <v>0.7</v>
      </c>
      <c r="H16" s="16">
        <v>0.7</v>
      </c>
      <c r="I16" s="16">
        <v>0.7</v>
      </c>
      <c r="J16" s="16">
        <v>0.7</v>
      </c>
      <c r="K16" s="16">
        <v>0.7</v>
      </c>
      <c r="L16" s="16">
        <v>0.7</v>
      </c>
      <c r="M16" s="16">
        <v>0.7</v>
      </c>
      <c r="N16" s="16">
        <v>0.7</v>
      </c>
      <c r="O16" s="16">
        <v>0.7</v>
      </c>
      <c r="P16" s="16">
        <v>0.7</v>
      </c>
      <c r="Q16" s="16">
        <v>0.7</v>
      </c>
      <c r="R16" s="16">
        <v>0.7</v>
      </c>
      <c r="S16" s="16">
        <v>0.7</v>
      </c>
      <c r="T16" s="16">
        <v>0.7</v>
      </c>
      <c r="U16" s="16">
        <v>0.7</v>
      </c>
      <c r="V16" s="16">
        <v>0.7</v>
      </c>
      <c r="W16" s="16">
        <v>0.7</v>
      </c>
      <c r="X16" s="16">
        <v>0.7</v>
      </c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</row>
    <row r="17" spans="1:24" ht="13.5" customHeight="1">
      <c r="A17" s="8" t="s">
        <v>15</v>
      </c>
      <c r="B17" s="8"/>
      <c r="C17" s="21">
        <f>C15*C16*C11</f>
        <v>0</v>
      </c>
      <c r="D17" s="21">
        <f>D15*D16*D11</f>
        <v>0</v>
      </c>
      <c r="E17" s="21">
        <f aca="true" t="shared" si="4" ref="E17:X17">E15*E16*D11</f>
        <v>0</v>
      </c>
      <c r="F17" s="21" t="e">
        <f t="shared" si="4"/>
        <v>#NAME?</v>
      </c>
      <c r="G17" s="21" t="e">
        <f t="shared" si="4"/>
        <v>#NAME?</v>
      </c>
      <c r="H17" s="21" t="e">
        <f t="shared" si="4"/>
        <v>#NAME?</v>
      </c>
      <c r="I17" s="21" t="e">
        <f t="shared" si="4"/>
        <v>#NAME?</v>
      </c>
      <c r="J17" s="21" t="e">
        <f t="shared" si="4"/>
        <v>#NAME?</v>
      </c>
      <c r="K17" s="21" t="e">
        <f t="shared" si="4"/>
        <v>#NAME?</v>
      </c>
      <c r="L17" s="21" t="e">
        <f t="shared" si="4"/>
        <v>#NAME?</v>
      </c>
      <c r="M17" s="21" t="e">
        <f t="shared" si="4"/>
        <v>#NAME?</v>
      </c>
      <c r="N17" s="21" t="e">
        <f t="shared" si="4"/>
        <v>#NAME?</v>
      </c>
      <c r="O17" s="21" t="e">
        <f t="shared" si="4"/>
        <v>#NAME?</v>
      </c>
      <c r="P17" s="21" t="e">
        <f t="shared" si="4"/>
        <v>#NAME?</v>
      </c>
      <c r="Q17" s="21" t="e">
        <f t="shared" si="4"/>
        <v>#NAME?</v>
      </c>
      <c r="R17" s="21" t="e">
        <f t="shared" si="4"/>
        <v>#NAME?</v>
      </c>
      <c r="S17" s="21" t="e">
        <f t="shared" si="4"/>
        <v>#NAME?</v>
      </c>
      <c r="T17" s="21" t="e">
        <f t="shared" si="4"/>
        <v>#NAME?</v>
      </c>
      <c r="U17" s="21" t="e">
        <f t="shared" si="4"/>
        <v>#NAME?</v>
      </c>
      <c r="V17" s="21" t="e">
        <f t="shared" si="4"/>
        <v>#NAME?</v>
      </c>
      <c r="W17" s="21" t="e">
        <f t="shared" si="4"/>
        <v>#NAME?</v>
      </c>
      <c r="X17" s="21" t="e">
        <f t="shared" si="4"/>
        <v>#NAME?</v>
      </c>
    </row>
    <row r="18" spans="1:24" ht="13.5" customHeight="1">
      <c r="A18" s="8" t="s">
        <v>11</v>
      </c>
      <c r="B18" s="8"/>
      <c r="C18" s="21">
        <f>$J$4*(C14+C17)</f>
        <v>0</v>
      </c>
      <c r="D18" s="21">
        <f>$J$4*(D14+D17)</f>
        <v>0</v>
      </c>
      <c r="E18" s="21" t="e">
        <f aca="true" t="shared" si="5" ref="E18:X18">E14+E17</f>
        <v>#NAME?</v>
      </c>
      <c r="F18" s="21" t="e">
        <f t="shared" si="5"/>
        <v>#NAME?</v>
      </c>
      <c r="G18" s="21" t="e">
        <f t="shared" si="5"/>
        <v>#NAME?</v>
      </c>
      <c r="H18" s="21" t="e">
        <f t="shared" si="5"/>
        <v>#NAME?</v>
      </c>
      <c r="I18" s="21" t="e">
        <f t="shared" si="5"/>
        <v>#NAME?</v>
      </c>
      <c r="J18" s="21" t="e">
        <f t="shared" si="5"/>
        <v>#NAME?</v>
      </c>
      <c r="K18" s="21" t="e">
        <f t="shared" si="5"/>
        <v>#NAME?</v>
      </c>
      <c r="L18" s="21" t="e">
        <f t="shared" si="5"/>
        <v>#NAME?</v>
      </c>
      <c r="M18" s="21" t="e">
        <f t="shared" si="5"/>
        <v>#NAME?</v>
      </c>
      <c r="N18" s="21" t="e">
        <f t="shared" si="5"/>
        <v>#NAME?</v>
      </c>
      <c r="O18" s="21" t="e">
        <f t="shared" si="5"/>
        <v>#NAME?</v>
      </c>
      <c r="P18" s="21" t="e">
        <f t="shared" si="5"/>
        <v>#NAME?</v>
      </c>
      <c r="Q18" s="21" t="e">
        <f t="shared" si="5"/>
        <v>#NAME?</v>
      </c>
      <c r="R18" s="21" t="e">
        <f t="shared" si="5"/>
        <v>#NAME?</v>
      </c>
      <c r="S18" s="21" t="e">
        <f t="shared" si="5"/>
        <v>#NAME?</v>
      </c>
      <c r="T18" s="21" t="e">
        <f t="shared" si="5"/>
        <v>#NAME?</v>
      </c>
      <c r="U18" s="21" t="e">
        <f t="shared" si="5"/>
        <v>#NAME?</v>
      </c>
      <c r="V18" s="21" t="e">
        <f t="shared" si="5"/>
        <v>#NAME?</v>
      </c>
      <c r="W18" s="21" t="e">
        <f t="shared" si="5"/>
        <v>#NAME?</v>
      </c>
      <c r="X18" s="21" t="e">
        <f t="shared" si="5"/>
        <v>#NAME?</v>
      </c>
    </row>
    <row r="19" spans="1:24" ht="13.5" customHeight="1">
      <c r="A19" s="8" t="s">
        <v>16</v>
      </c>
      <c r="B19" s="8"/>
      <c r="C19" s="24" t="e">
        <f>C18*$B$7/1000</f>
        <v>#NAME?</v>
      </c>
      <c r="D19" s="24" t="e">
        <f>D18*$B$7/1000</f>
        <v>#NAME?</v>
      </c>
      <c r="E19" s="24" t="e">
        <f aca="true" t="shared" si="6" ref="E19:X19">E18*$B$7*$F$4/1000</f>
        <v>#NAME?</v>
      </c>
      <c r="F19" s="24" t="e">
        <f t="shared" si="6"/>
        <v>#NAME?</v>
      </c>
      <c r="G19" s="24" t="e">
        <f t="shared" si="6"/>
        <v>#NAME?</v>
      </c>
      <c r="H19" s="24" t="e">
        <f t="shared" si="6"/>
        <v>#NAME?</v>
      </c>
      <c r="I19" s="24" t="e">
        <f t="shared" si="6"/>
        <v>#NAME?</v>
      </c>
      <c r="J19" s="24" t="e">
        <f t="shared" si="6"/>
        <v>#NAME?</v>
      </c>
      <c r="K19" s="24" t="e">
        <f t="shared" si="6"/>
        <v>#NAME?</v>
      </c>
      <c r="L19" s="24" t="e">
        <f t="shared" si="6"/>
        <v>#NAME?</v>
      </c>
      <c r="M19" s="24" t="e">
        <f t="shared" si="6"/>
        <v>#NAME?</v>
      </c>
      <c r="N19" s="24" t="e">
        <f t="shared" si="6"/>
        <v>#NAME?</v>
      </c>
      <c r="O19" s="24" t="e">
        <f t="shared" si="6"/>
        <v>#NAME?</v>
      </c>
      <c r="P19" s="24" t="e">
        <f t="shared" si="6"/>
        <v>#NAME?</v>
      </c>
      <c r="Q19" s="24" t="e">
        <f t="shared" si="6"/>
        <v>#NAME?</v>
      </c>
      <c r="R19" s="24" t="e">
        <f t="shared" si="6"/>
        <v>#NAME?</v>
      </c>
      <c r="S19" s="24" t="e">
        <f t="shared" si="6"/>
        <v>#NAME?</v>
      </c>
      <c r="T19" s="24" t="e">
        <f t="shared" si="6"/>
        <v>#NAME?</v>
      </c>
      <c r="U19" s="24" t="e">
        <f t="shared" si="6"/>
        <v>#NAME?</v>
      </c>
      <c r="V19" s="24" t="e">
        <f t="shared" si="6"/>
        <v>#NAME?</v>
      </c>
      <c r="W19" s="24" t="e">
        <f t="shared" si="6"/>
        <v>#NAME?</v>
      </c>
      <c r="X19" s="24" t="e">
        <f t="shared" si="6"/>
        <v>#NAME?</v>
      </c>
    </row>
    <row r="20" spans="1:24" ht="12.75">
      <c r="A20" s="8" t="s">
        <v>18</v>
      </c>
      <c r="B20" s="12" t="e">
        <f>F5</f>
        <v>#NAME?</v>
      </c>
      <c r="C20" s="21" t="e">
        <f aca="true" t="shared" si="7" ref="C20:X20">C19*$F$5</f>
        <v>#NAME?</v>
      </c>
      <c r="D20" s="21" t="e">
        <f t="shared" si="7"/>
        <v>#NAME?</v>
      </c>
      <c r="E20" s="21" t="e">
        <f t="shared" si="7"/>
        <v>#NAME?</v>
      </c>
      <c r="F20" s="21" t="e">
        <f t="shared" si="7"/>
        <v>#NAME?</v>
      </c>
      <c r="G20" s="21" t="e">
        <f t="shared" si="7"/>
        <v>#NAME?</v>
      </c>
      <c r="H20" s="21" t="e">
        <f t="shared" si="7"/>
        <v>#NAME?</v>
      </c>
      <c r="I20" s="21" t="e">
        <f t="shared" si="7"/>
        <v>#NAME?</v>
      </c>
      <c r="J20" s="21" t="e">
        <f t="shared" si="7"/>
        <v>#NAME?</v>
      </c>
      <c r="K20" s="21" t="e">
        <f t="shared" si="7"/>
        <v>#NAME?</v>
      </c>
      <c r="L20" s="21" t="e">
        <f t="shared" si="7"/>
        <v>#NAME?</v>
      </c>
      <c r="M20" s="21" t="e">
        <f t="shared" si="7"/>
        <v>#NAME?</v>
      </c>
      <c r="N20" s="21" t="e">
        <f t="shared" si="7"/>
        <v>#NAME?</v>
      </c>
      <c r="O20" s="21" t="e">
        <f t="shared" si="7"/>
        <v>#NAME?</v>
      </c>
      <c r="P20" s="21" t="e">
        <f t="shared" si="7"/>
        <v>#NAME?</v>
      </c>
      <c r="Q20" s="21" t="e">
        <f t="shared" si="7"/>
        <v>#NAME?</v>
      </c>
      <c r="R20" s="21" t="e">
        <f t="shared" si="7"/>
        <v>#NAME?</v>
      </c>
      <c r="S20" s="21" t="e">
        <f t="shared" si="7"/>
        <v>#NAME?</v>
      </c>
      <c r="T20" s="21" t="e">
        <f t="shared" si="7"/>
        <v>#NAME?</v>
      </c>
      <c r="U20" s="21" t="e">
        <f t="shared" si="7"/>
        <v>#NAME?</v>
      </c>
      <c r="V20" s="21" t="e">
        <f t="shared" si="7"/>
        <v>#NAME?</v>
      </c>
      <c r="W20" s="21" t="e">
        <f t="shared" si="7"/>
        <v>#NAME?</v>
      </c>
      <c r="X20" s="21" t="e">
        <f t="shared" si="7"/>
        <v>#NAME?</v>
      </c>
    </row>
    <row r="21" spans="1:24" ht="12.75">
      <c r="A21" s="8"/>
      <c r="B21" s="8"/>
      <c r="C21" s="11"/>
      <c r="D21" s="8"/>
      <c r="E21" s="8" t="s">
        <v>47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2.75">
      <c r="A22" s="14" t="s">
        <v>19</v>
      </c>
      <c r="B22" s="14"/>
      <c r="C22" s="1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ht="12.75">
      <c r="A23" s="46" t="s">
        <v>43</v>
      </c>
      <c r="B23" s="8"/>
      <c r="C23" s="31">
        <v>0</v>
      </c>
      <c r="D23" s="32">
        <v>15</v>
      </c>
      <c r="E23" s="32">
        <v>30</v>
      </c>
      <c r="F23" s="32">
        <v>45</v>
      </c>
      <c r="G23" s="32">
        <v>45</v>
      </c>
      <c r="H23" s="32">
        <v>45</v>
      </c>
      <c r="I23" s="32">
        <v>45</v>
      </c>
      <c r="J23" s="32">
        <v>45</v>
      </c>
      <c r="K23" s="32">
        <v>45</v>
      </c>
      <c r="L23" s="32">
        <v>45</v>
      </c>
      <c r="M23" s="32">
        <v>45</v>
      </c>
      <c r="N23" s="32">
        <v>45</v>
      </c>
      <c r="O23" s="32">
        <v>45</v>
      </c>
      <c r="P23" s="32">
        <v>45</v>
      </c>
      <c r="Q23" s="32">
        <v>45</v>
      </c>
      <c r="R23" s="32">
        <v>45</v>
      </c>
      <c r="S23" s="32">
        <v>45</v>
      </c>
      <c r="T23" s="32">
        <v>45</v>
      </c>
      <c r="U23" s="32">
        <v>45</v>
      </c>
      <c r="V23" s="32">
        <v>45</v>
      </c>
      <c r="W23" s="32">
        <v>45</v>
      </c>
      <c r="X23" s="32">
        <v>45</v>
      </c>
    </row>
    <row r="24" spans="1:24" ht="15.75">
      <c r="A24" s="46" t="s">
        <v>44</v>
      </c>
      <c r="B24" s="8"/>
      <c r="C24" s="21">
        <v>0</v>
      </c>
      <c r="D24" s="86">
        <f aca="true" t="shared" si="8" ref="D24:X24">D23*200*(1.05)^(D9-1998+1)</f>
        <v>3150</v>
      </c>
      <c r="E24" s="86">
        <f t="shared" si="8"/>
        <v>6615</v>
      </c>
      <c r="F24" s="86">
        <f t="shared" si="8"/>
        <v>10418.625000000002</v>
      </c>
      <c r="G24" s="86">
        <f t="shared" si="8"/>
        <v>10939.55625</v>
      </c>
      <c r="H24" s="86">
        <f t="shared" si="8"/>
        <v>11486.5340625</v>
      </c>
      <c r="I24" s="86">
        <f t="shared" si="8"/>
        <v>12060.860765625</v>
      </c>
      <c r="J24" s="86">
        <f t="shared" si="8"/>
        <v>12663.903803906253</v>
      </c>
      <c r="K24" s="86">
        <f t="shared" si="8"/>
        <v>13297.098994101563</v>
      </c>
      <c r="L24" s="86">
        <f t="shared" si="8"/>
        <v>13961.953943806642</v>
      </c>
      <c r="M24" s="86">
        <f t="shared" si="8"/>
        <v>14660.051640996973</v>
      </c>
      <c r="N24" s="86">
        <f t="shared" si="8"/>
        <v>15393.054223046824</v>
      </c>
      <c r="O24" s="86">
        <f t="shared" si="8"/>
        <v>16162.706934199163</v>
      </c>
      <c r="P24" s="86">
        <f t="shared" si="8"/>
        <v>16970.842280909124</v>
      </c>
      <c r="Q24" s="86">
        <f t="shared" si="8"/>
        <v>17819.384394954577</v>
      </c>
      <c r="R24" s="86">
        <f t="shared" si="8"/>
        <v>18710.35361470231</v>
      </c>
      <c r="S24" s="86">
        <f t="shared" si="8"/>
        <v>19645.871295437424</v>
      </c>
      <c r="T24" s="86">
        <f t="shared" si="8"/>
        <v>20628.164860209297</v>
      </c>
      <c r="U24" s="86">
        <f t="shared" si="8"/>
        <v>21659.573103219762</v>
      </c>
      <c r="V24" s="86">
        <f t="shared" si="8"/>
        <v>22742.551758380752</v>
      </c>
      <c r="W24" s="86">
        <f t="shared" si="8"/>
        <v>23879.67934629979</v>
      </c>
      <c r="X24" s="86">
        <f t="shared" si="8"/>
        <v>25073.663313614776</v>
      </c>
    </row>
    <row r="25" spans="1:24" ht="12.75">
      <c r="A25" s="8" t="s">
        <v>21</v>
      </c>
      <c r="B25" s="8"/>
      <c r="C25" s="27">
        <v>0</v>
      </c>
      <c r="D25" s="28">
        <v>0</v>
      </c>
      <c r="E25" s="33" t="e">
        <f>$F$6*65%</f>
        <v>#NAME?</v>
      </c>
      <c r="F25" s="33" t="e">
        <f>$F$6*30%</f>
        <v>#NAME?</v>
      </c>
      <c r="G25" s="33" t="e">
        <f>$F$6*15%</f>
        <v>#NAME?</v>
      </c>
      <c r="H25" s="33" t="e">
        <f>$F$6*8%</f>
        <v>#NAME?</v>
      </c>
      <c r="I25" s="33" t="e">
        <f aca="true" t="shared" si="9" ref="I25:X25">$F$6*5%</f>
        <v>#NAME?</v>
      </c>
      <c r="J25" s="33" t="e">
        <f t="shared" si="9"/>
        <v>#NAME?</v>
      </c>
      <c r="K25" s="33" t="e">
        <f t="shared" si="9"/>
        <v>#NAME?</v>
      </c>
      <c r="L25" s="33" t="e">
        <f t="shared" si="9"/>
        <v>#NAME?</v>
      </c>
      <c r="M25" s="33" t="e">
        <f t="shared" si="9"/>
        <v>#NAME?</v>
      </c>
      <c r="N25" s="33" t="e">
        <f t="shared" si="9"/>
        <v>#NAME?</v>
      </c>
      <c r="O25" s="33" t="e">
        <f t="shared" si="9"/>
        <v>#NAME?</v>
      </c>
      <c r="P25" s="33" t="e">
        <f t="shared" si="9"/>
        <v>#NAME?</v>
      </c>
      <c r="Q25" s="33" t="e">
        <f t="shared" si="9"/>
        <v>#NAME?</v>
      </c>
      <c r="R25" s="33" t="e">
        <f t="shared" si="9"/>
        <v>#NAME?</v>
      </c>
      <c r="S25" s="33" t="e">
        <f t="shared" si="9"/>
        <v>#NAME?</v>
      </c>
      <c r="T25" s="33" t="e">
        <f t="shared" si="9"/>
        <v>#NAME?</v>
      </c>
      <c r="U25" s="33" t="e">
        <f t="shared" si="9"/>
        <v>#NAME?</v>
      </c>
      <c r="V25" s="33" t="e">
        <f t="shared" si="9"/>
        <v>#NAME?</v>
      </c>
      <c r="W25" s="33" t="e">
        <f t="shared" si="9"/>
        <v>#NAME?</v>
      </c>
      <c r="X25" s="33" t="e">
        <f t="shared" si="9"/>
        <v>#NAME?</v>
      </c>
    </row>
    <row r="26" spans="1:24" ht="12.75">
      <c r="A26" s="8" t="s">
        <v>22</v>
      </c>
      <c r="B26" s="8"/>
      <c r="C26" s="30">
        <f>0</f>
        <v>0</v>
      </c>
      <c r="D26" s="30" t="e">
        <f aca="true" t="shared" si="10" ref="D26:X26">D19*D25</f>
        <v>#NAME?</v>
      </c>
      <c r="E26" s="30" t="e">
        <f t="shared" si="10"/>
        <v>#NAME?</v>
      </c>
      <c r="F26" s="30" t="e">
        <f t="shared" si="10"/>
        <v>#NAME?</v>
      </c>
      <c r="G26" s="30" t="e">
        <f t="shared" si="10"/>
        <v>#NAME?</v>
      </c>
      <c r="H26" s="30" t="e">
        <f t="shared" si="10"/>
        <v>#NAME?</v>
      </c>
      <c r="I26" s="30" t="e">
        <f t="shared" si="10"/>
        <v>#NAME?</v>
      </c>
      <c r="J26" s="30" t="e">
        <f t="shared" si="10"/>
        <v>#NAME?</v>
      </c>
      <c r="K26" s="30" t="e">
        <f t="shared" si="10"/>
        <v>#NAME?</v>
      </c>
      <c r="L26" s="30" t="e">
        <f t="shared" si="10"/>
        <v>#NAME?</v>
      </c>
      <c r="M26" s="30" t="e">
        <f t="shared" si="10"/>
        <v>#NAME?</v>
      </c>
      <c r="N26" s="30" t="e">
        <f t="shared" si="10"/>
        <v>#NAME?</v>
      </c>
      <c r="O26" s="30" t="e">
        <f t="shared" si="10"/>
        <v>#NAME?</v>
      </c>
      <c r="P26" s="30" t="e">
        <f t="shared" si="10"/>
        <v>#NAME?</v>
      </c>
      <c r="Q26" s="30" t="e">
        <f t="shared" si="10"/>
        <v>#NAME?</v>
      </c>
      <c r="R26" s="30" t="e">
        <f t="shared" si="10"/>
        <v>#NAME?</v>
      </c>
      <c r="S26" s="30" t="e">
        <f t="shared" si="10"/>
        <v>#NAME?</v>
      </c>
      <c r="T26" s="30" t="e">
        <f t="shared" si="10"/>
        <v>#NAME?</v>
      </c>
      <c r="U26" s="30" t="e">
        <f t="shared" si="10"/>
        <v>#NAME?</v>
      </c>
      <c r="V26" s="30" t="e">
        <f t="shared" si="10"/>
        <v>#NAME?</v>
      </c>
      <c r="W26" s="30" t="e">
        <f t="shared" si="10"/>
        <v>#NAME?</v>
      </c>
      <c r="X26" s="30" t="e">
        <f t="shared" si="10"/>
        <v>#NAME?</v>
      </c>
    </row>
    <row r="27" spans="1:24" ht="12.75">
      <c r="A27" s="46" t="s">
        <v>45</v>
      </c>
      <c r="B27" s="8"/>
      <c r="C27" s="34"/>
      <c r="D27" s="35"/>
      <c r="E27" s="35">
        <v>0.4</v>
      </c>
      <c r="F27" s="35">
        <v>0.4</v>
      </c>
      <c r="G27" s="35">
        <v>0.4</v>
      </c>
      <c r="H27" s="35">
        <v>0.4</v>
      </c>
      <c r="I27" s="35">
        <v>0.4</v>
      </c>
      <c r="J27" s="35">
        <v>0.4</v>
      </c>
      <c r="K27" s="35">
        <v>0.4</v>
      </c>
      <c r="L27" s="35">
        <v>0.4</v>
      </c>
      <c r="M27" s="35">
        <v>0.4</v>
      </c>
      <c r="N27" s="35">
        <v>0.4</v>
      </c>
      <c r="O27" s="35">
        <v>0.4</v>
      </c>
      <c r="P27" s="35">
        <v>0.4</v>
      </c>
      <c r="Q27" s="35">
        <v>0.4</v>
      </c>
      <c r="R27" s="35">
        <v>0.4</v>
      </c>
      <c r="S27" s="35">
        <v>0.4</v>
      </c>
      <c r="T27" s="35">
        <v>0.4</v>
      </c>
      <c r="U27" s="35">
        <v>0.4</v>
      </c>
      <c r="V27" s="35">
        <v>0.4</v>
      </c>
      <c r="W27" s="35">
        <v>0.4</v>
      </c>
      <c r="X27" s="35">
        <v>0.4</v>
      </c>
    </row>
    <row r="28" spans="1:24" ht="12.75">
      <c r="A28" s="8" t="s">
        <v>23</v>
      </c>
      <c r="B28" s="8"/>
      <c r="C28" s="36">
        <v>800</v>
      </c>
      <c r="D28" s="36">
        <v>800</v>
      </c>
      <c r="E28" s="36">
        <f aca="true" t="shared" si="11" ref="E28:X28">E24*E27</f>
        <v>2646</v>
      </c>
      <c r="F28" s="36">
        <f t="shared" si="11"/>
        <v>4167.450000000001</v>
      </c>
      <c r="G28" s="36">
        <f t="shared" si="11"/>
        <v>4375.8225</v>
      </c>
      <c r="H28" s="36">
        <f t="shared" si="11"/>
        <v>4594.613625000001</v>
      </c>
      <c r="I28" s="36">
        <f t="shared" si="11"/>
        <v>4824.34430625</v>
      </c>
      <c r="J28" s="36">
        <f t="shared" si="11"/>
        <v>5065.561521562501</v>
      </c>
      <c r="K28" s="36">
        <f t="shared" si="11"/>
        <v>5318.8395976406255</v>
      </c>
      <c r="L28" s="36">
        <f t="shared" si="11"/>
        <v>5584.781577522657</v>
      </c>
      <c r="M28" s="36">
        <f t="shared" si="11"/>
        <v>5864.0206563987895</v>
      </c>
      <c r="N28" s="36">
        <f t="shared" si="11"/>
        <v>6157.22168921873</v>
      </c>
      <c r="O28" s="36">
        <f t="shared" si="11"/>
        <v>6465.0827736796655</v>
      </c>
      <c r="P28" s="36">
        <f t="shared" si="11"/>
        <v>6788.33691236365</v>
      </c>
      <c r="Q28" s="36">
        <f t="shared" si="11"/>
        <v>7127.753757981831</v>
      </c>
      <c r="R28" s="36">
        <f t="shared" si="11"/>
        <v>7484.141445880925</v>
      </c>
      <c r="S28" s="36">
        <f t="shared" si="11"/>
        <v>7858.34851817497</v>
      </c>
      <c r="T28" s="36">
        <f t="shared" si="11"/>
        <v>8251.26594408372</v>
      </c>
      <c r="U28" s="36">
        <f t="shared" si="11"/>
        <v>8663.829241287905</v>
      </c>
      <c r="V28" s="36">
        <f t="shared" si="11"/>
        <v>9097.020703352302</v>
      </c>
      <c r="W28" s="36">
        <f t="shared" si="11"/>
        <v>9551.871738519916</v>
      </c>
      <c r="X28" s="36">
        <f t="shared" si="11"/>
        <v>10029.465325445912</v>
      </c>
    </row>
    <row r="29" spans="1:24" ht="12.75">
      <c r="A29" s="8" t="s">
        <v>28</v>
      </c>
      <c r="B29" s="8"/>
      <c r="C29" s="36">
        <v>4000</v>
      </c>
      <c r="D29" s="36">
        <v>3000</v>
      </c>
      <c r="E29" s="36">
        <v>3000</v>
      </c>
      <c r="F29" s="36">
        <v>3000</v>
      </c>
      <c r="G29" s="36">
        <v>3000</v>
      </c>
      <c r="H29" s="36">
        <v>3000</v>
      </c>
      <c r="I29" s="36">
        <v>3000</v>
      </c>
      <c r="J29" s="36">
        <v>3000</v>
      </c>
      <c r="K29" s="36">
        <v>3000</v>
      </c>
      <c r="L29" s="36">
        <v>3000</v>
      </c>
      <c r="M29" s="36">
        <v>3000</v>
      </c>
      <c r="N29" s="36">
        <v>3000</v>
      </c>
      <c r="O29" s="36">
        <v>3000</v>
      </c>
      <c r="P29" s="36">
        <v>3000</v>
      </c>
      <c r="Q29" s="36">
        <v>3000</v>
      </c>
      <c r="R29" s="36">
        <v>3000</v>
      </c>
      <c r="S29" s="36">
        <v>3000</v>
      </c>
      <c r="T29" s="36">
        <v>3000</v>
      </c>
      <c r="U29" s="36">
        <v>3000</v>
      </c>
      <c r="V29" s="36">
        <v>3000</v>
      </c>
      <c r="W29" s="36">
        <v>3000</v>
      </c>
      <c r="X29" s="36">
        <v>3000</v>
      </c>
    </row>
    <row r="30" spans="1:24" ht="15">
      <c r="A30" s="8" t="s">
        <v>24</v>
      </c>
      <c r="B30" s="8"/>
      <c r="C30" s="37">
        <v>400</v>
      </c>
      <c r="D30" s="29">
        <v>400</v>
      </c>
      <c r="E30" s="29">
        <v>950</v>
      </c>
      <c r="F30" s="29">
        <v>950</v>
      </c>
      <c r="G30" s="29">
        <v>950</v>
      </c>
      <c r="H30" s="29">
        <v>950</v>
      </c>
      <c r="I30" s="29">
        <v>950</v>
      </c>
      <c r="J30" s="29">
        <v>950</v>
      </c>
      <c r="K30" s="29">
        <v>950</v>
      </c>
      <c r="L30" s="29">
        <v>950</v>
      </c>
      <c r="M30" s="29">
        <v>950</v>
      </c>
      <c r="N30" s="29">
        <v>950</v>
      </c>
      <c r="O30" s="29">
        <v>950</v>
      </c>
      <c r="P30" s="29">
        <v>950</v>
      </c>
      <c r="Q30" s="29">
        <v>950</v>
      </c>
      <c r="R30" s="29">
        <v>950</v>
      </c>
      <c r="S30" s="29">
        <v>950</v>
      </c>
      <c r="T30" s="29">
        <v>950</v>
      </c>
      <c r="U30" s="29">
        <v>950</v>
      </c>
      <c r="V30" s="29">
        <v>950</v>
      </c>
      <c r="W30" s="29">
        <v>950</v>
      </c>
      <c r="X30" s="29">
        <v>950</v>
      </c>
    </row>
    <row r="31" spans="1:24" ht="12.75">
      <c r="A31" s="8" t="s">
        <v>25</v>
      </c>
      <c r="B31" s="8"/>
      <c r="C31" s="21">
        <f aca="true" t="shared" si="12" ref="C31:X31">C24+C26+C28+C29+C30</f>
        <v>5200</v>
      </c>
      <c r="D31" s="21" t="e">
        <f t="shared" si="12"/>
        <v>#NAME?</v>
      </c>
      <c r="E31" s="21" t="e">
        <f t="shared" si="12"/>
        <v>#NAME?</v>
      </c>
      <c r="F31" s="21" t="e">
        <f t="shared" si="12"/>
        <v>#NAME?</v>
      </c>
      <c r="G31" s="21" t="e">
        <f t="shared" si="12"/>
        <v>#NAME?</v>
      </c>
      <c r="H31" s="21" t="e">
        <f t="shared" si="12"/>
        <v>#NAME?</v>
      </c>
      <c r="I31" s="21" t="e">
        <f t="shared" si="12"/>
        <v>#NAME?</v>
      </c>
      <c r="J31" s="21" t="e">
        <f t="shared" si="12"/>
        <v>#NAME?</v>
      </c>
      <c r="K31" s="21" t="e">
        <f t="shared" si="12"/>
        <v>#NAME?</v>
      </c>
      <c r="L31" s="21" t="e">
        <f t="shared" si="12"/>
        <v>#NAME?</v>
      </c>
      <c r="M31" s="21" t="e">
        <f t="shared" si="12"/>
        <v>#NAME?</v>
      </c>
      <c r="N31" s="21" t="e">
        <f t="shared" si="12"/>
        <v>#NAME?</v>
      </c>
      <c r="O31" s="21" t="e">
        <f t="shared" si="12"/>
        <v>#NAME?</v>
      </c>
      <c r="P31" s="21" t="e">
        <f t="shared" si="12"/>
        <v>#NAME?</v>
      </c>
      <c r="Q31" s="21" t="e">
        <f t="shared" si="12"/>
        <v>#NAME?</v>
      </c>
      <c r="R31" s="21" t="e">
        <f t="shared" si="12"/>
        <v>#NAME?</v>
      </c>
      <c r="S31" s="21" t="e">
        <f t="shared" si="12"/>
        <v>#NAME?</v>
      </c>
      <c r="T31" s="21" t="e">
        <f t="shared" si="12"/>
        <v>#NAME?</v>
      </c>
      <c r="U31" s="21" t="e">
        <f t="shared" si="12"/>
        <v>#NAME?</v>
      </c>
      <c r="V31" s="21" t="e">
        <f t="shared" si="12"/>
        <v>#NAME?</v>
      </c>
      <c r="W31" s="21" t="e">
        <f t="shared" si="12"/>
        <v>#NAME?</v>
      </c>
      <c r="X31" s="21" t="e">
        <f t="shared" si="12"/>
        <v>#NAME?</v>
      </c>
    </row>
    <row r="32" spans="1:24" ht="12.75">
      <c r="A32" s="8"/>
      <c r="B32" s="8"/>
      <c r="C32" s="1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2.75">
      <c r="A33" s="14" t="s">
        <v>26</v>
      </c>
      <c r="B33" s="14"/>
      <c r="C33" s="21" t="e">
        <f aca="true" t="shared" si="13" ref="C33:X33">C20-C31</f>
        <v>#NAME?</v>
      </c>
      <c r="D33" s="38" t="e">
        <f t="shared" si="13"/>
        <v>#NAME?</v>
      </c>
      <c r="E33" s="38" t="e">
        <f t="shared" si="13"/>
        <v>#NAME?</v>
      </c>
      <c r="F33" s="38" t="e">
        <f t="shared" si="13"/>
        <v>#NAME?</v>
      </c>
      <c r="G33" s="38" t="e">
        <f t="shared" si="13"/>
        <v>#NAME?</v>
      </c>
      <c r="H33" s="38" t="e">
        <f t="shared" si="13"/>
        <v>#NAME?</v>
      </c>
      <c r="I33" s="38" t="e">
        <f t="shared" si="13"/>
        <v>#NAME?</v>
      </c>
      <c r="J33" s="38" t="e">
        <f t="shared" si="13"/>
        <v>#NAME?</v>
      </c>
      <c r="K33" s="38" t="e">
        <f t="shared" si="13"/>
        <v>#NAME?</v>
      </c>
      <c r="L33" s="38" t="e">
        <f t="shared" si="13"/>
        <v>#NAME?</v>
      </c>
      <c r="M33" s="38" t="e">
        <f t="shared" si="13"/>
        <v>#NAME?</v>
      </c>
      <c r="N33" s="38" t="e">
        <f t="shared" si="13"/>
        <v>#NAME?</v>
      </c>
      <c r="O33" s="38" t="e">
        <f t="shared" si="13"/>
        <v>#NAME?</v>
      </c>
      <c r="P33" s="38" t="e">
        <f t="shared" si="13"/>
        <v>#NAME?</v>
      </c>
      <c r="Q33" s="38" t="e">
        <f t="shared" si="13"/>
        <v>#NAME?</v>
      </c>
      <c r="R33" s="38" t="e">
        <f t="shared" si="13"/>
        <v>#NAME?</v>
      </c>
      <c r="S33" s="38" t="e">
        <f t="shared" si="13"/>
        <v>#NAME?</v>
      </c>
      <c r="T33" s="38" t="e">
        <f t="shared" si="13"/>
        <v>#NAME?</v>
      </c>
      <c r="U33" s="38" t="e">
        <f t="shared" si="13"/>
        <v>#NAME?</v>
      </c>
      <c r="V33" s="38" t="e">
        <f t="shared" si="13"/>
        <v>#NAME?</v>
      </c>
      <c r="W33" s="38" t="e">
        <f t="shared" si="13"/>
        <v>#NAME?</v>
      </c>
      <c r="X33" s="38" t="e">
        <f t="shared" si="13"/>
        <v>#NAME?</v>
      </c>
    </row>
    <row r="34" spans="1:24" ht="12.75">
      <c r="A34" s="14" t="s">
        <v>111</v>
      </c>
      <c r="B34" s="14"/>
      <c r="C34" s="11" t="e">
        <f>IF(C33&lt;0,C33+B34)</f>
        <v>#NAME?</v>
      </c>
      <c r="D34" s="11" t="e">
        <f>IF(D33&lt;0,D33+C34)</f>
        <v>#NAME?</v>
      </c>
      <c r="E34" s="100" t="e">
        <f>IF(E33&lt;0,E33+D34)</f>
        <v>#NAME?</v>
      </c>
      <c r="F34" s="100" t="e">
        <f>IF(F33&lt;0,F33+E34,IF(F33&gt;0,IF(ABS(E34)&lt;F33,0*(F33+E34))))</f>
        <v>#NAME?</v>
      </c>
      <c r="G34" s="100" t="e">
        <f>IF(G33&lt;0,G33+F34,IF(ABS(F34)&lt;G33,0,(G33+F34)))</f>
        <v>#NAME?</v>
      </c>
      <c r="H34" s="100" t="e">
        <f>IF(H33&lt;0,H33+G34,IF(ABS(G34)&lt;H33,0,(H33+G34)))</f>
        <v>#NAME?</v>
      </c>
      <c r="I34" s="100" t="e">
        <f>IF(I33&lt;0,I33+H34,IF(ABS(H34)&lt;I33,0,(I33+H34)))</f>
        <v>#NAME?</v>
      </c>
      <c r="J34" s="100" t="e">
        <f>IF(J33&lt;0,J33+I34,IF(ABS(I34)&lt;J33,0,(J33+I34)))</f>
        <v>#NAME?</v>
      </c>
      <c r="K34" s="100" t="e">
        <f aca="true" t="shared" si="14" ref="K34:X34">IF(K33&lt;0,K33+J34,IF(ABS(J34)&lt;K33,0,(K33+J34)))</f>
        <v>#NAME?</v>
      </c>
      <c r="L34" s="100" t="e">
        <f t="shared" si="14"/>
        <v>#NAME?</v>
      </c>
      <c r="M34" s="100" t="e">
        <f t="shared" si="14"/>
        <v>#NAME?</v>
      </c>
      <c r="N34" s="100" t="e">
        <f t="shared" si="14"/>
        <v>#NAME?</v>
      </c>
      <c r="O34" s="100" t="e">
        <f t="shared" si="14"/>
        <v>#NAME?</v>
      </c>
      <c r="P34" s="100" t="e">
        <f t="shared" si="14"/>
        <v>#NAME?</v>
      </c>
      <c r="Q34" s="100" t="e">
        <f t="shared" si="14"/>
        <v>#NAME?</v>
      </c>
      <c r="R34" s="100" t="e">
        <f t="shared" si="14"/>
        <v>#NAME?</v>
      </c>
      <c r="S34" s="100" t="e">
        <f t="shared" si="14"/>
        <v>#NAME?</v>
      </c>
      <c r="T34" s="100" t="e">
        <f t="shared" si="14"/>
        <v>#NAME?</v>
      </c>
      <c r="U34" s="100" t="e">
        <f t="shared" si="14"/>
        <v>#NAME?</v>
      </c>
      <c r="V34" s="100" t="e">
        <f t="shared" si="14"/>
        <v>#NAME?</v>
      </c>
      <c r="W34" s="100" t="e">
        <f t="shared" si="14"/>
        <v>#NAME?</v>
      </c>
      <c r="X34" s="100" t="e">
        <f t="shared" si="14"/>
        <v>#NAME?</v>
      </c>
    </row>
    <row r="35" spans="1:24" ht="12.75">
      <c r="A35" s="14" t="s">
        <v>33</v>
      </c>
      <c r="B35" s="15">
        <v>0.38</v>
      </c>
      <c r="C35" s="30" t="e">
        <f aca="true" t="shared" si="15" ref="C35:I35">IF(C33&lt;0,0,IF(ABS(C34)&gt;C33,0,(C33+C34)*0.38))</f>
        <v>#NAME?</v>
      </c>
      <c r="D35" s="30" t="e">
        <f t="shared" si="15"/>
        <v>#NAME?</v>
      </c>
      <c r="E35" s="30" t="e">
        <f t="shared" si="15"/>
        <v>#NAME?</v>
      </c>
      <c r="F35" s="30" t="e">
        <f t="shared" si="15"/>
        <v>#NAME?</v>
      </c>
      <c r="G35" s="30" t="e">
        <f t="shared" si="15"/>
        <v>#NAME?</v>
      </c>
      <c r="H35" s="30" t="e">
        <f t="shared" si="15"/>
        <v>#NAME?</v>
      </c>
      <c r="I35" s="30" t="e">
        <f t="shared" si="15"/>
        <v>#NAME?</v>
      </c>
      <c r="J35" s="30" t="e">
        <f aca="true" t="shared" si="16" ref="J35:X35">IF(J33&lt;0,0,IF(ABS(J34)&gt;J33,0,(J33+J34)*0.38))</f>
        <v>#NAME?</v>
      </c>
      <c r="K35" s="30" t="e">
        <f t="shared" si="16"/>
        <v>#NAME?</v>
      </c>
      <c r="L35" s="30" t="e">
        <f t="shared" si="16"/>
        <v>#NAME?</v>
      </c>
      <c r="M35" s="30" t="e">
        <f t="shared" si="16"/>
        <v>#NAME?</v>
      </c>
      <c r="N35" s="30" t="e">
        <f t="shared" si="16"/>
        <v>#NAME?</v>
      </c>
      <c r="O35" s="30" t="e">
        <f t="shared" si="16"/>
        <v>#NAME?</v>
      </c>
      <c r="P35" s="30" t="e">
        <f t="shared" si="16"/>
        <v>#NAME?</v>
      </c>
      <c r="Q35" s="30" t="e">
        <f t="shared" si="16"/>
        <v>#NAME?</v>
      </c>
      <c r="R35" s="30" t="e">
        <f t="shared" si="16"/>
        <v>#NAME?</v>
      </c>
      <c r="S35" s="30" t="e">
        <f t="shared" si="16"/>
        <v>#NAME?</v>
      </c>
      <c r="T35" s="30" t="e">
        <f t="shared" si="16"/>
        <v>#NAME?</v>
      </c>
      <c r="U35" s="30" t="e">
        <f t="shared" si="16"/>
        <v>#NAME?</v>
      </c>
      <c r="V35" s="30" t="e">
        <f t="shared" si="16"/>
        <v>#NAME?</v>
      </c>
      <c r="W35" s="30" t="e">
        <f t="shared" si="16"/>
        <v>#NAME?</v>
      </c>
      <c r="X35" s="30" t="e">
        <f t="shared" si="16"/>
        <v>#NAME?</v>
      </c>
    </row>
    <row r="36" spans="1:24" ht="12.75">
      <c r="A36" s="8"/>
      <c r="B36" s="8"/>
      <c r="C36" s="11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</row>
    <row r="37" spans="1:24" ht="12.75">
      <c r="A37" s="14" t="s">
        <v>27</v>
      </c>
      <c r="B37" s="14"/>
      <c r="C37" s="21" t="e">
        <f aca="true" t="shared" si="17" ref="C37:X37">C33-C35</f>
        <v>#NAME?</v>
      </c>
      <c r="D37" s="25" t="e">
        <f t="shared" si="17"/>
        <v>#NAME?</v>
      </c>
      <c r="E37" s="25" t="e">
        <f t="shared" si="17"/>
        <v>#NAME?</v>
      </c>
      <c r="F37" s="25" t="e">
        <f t="shared" si="17"/>
        <v>#NAME?</v>
      </c>
      <c r="G37" s="25" t="e">
        <f t="shared" si="17"/>
        <v>#NAME?</v>
      </c>
      <c r="H37" s="25" t="e">
        <f t="shared" si="17"/>
        <v>#NAME?</v>
      </c>
      <c r="I37" s="25" t="e">
        <f t="shared" si="17"/>
        <v>#NAME?</v>
      </c>
      <c r="J37" s="25" t="e">
        <f t="shared" si="17"/>
        <v>#NAME?</v>
      </c>
      <c r="K37" s="25" t="e">
        <f t="shared" si="17"/>
        <v>#NAME?</v>
      </c>
      <c r="L37" s="25" t="e">
        <f t="shared" si="17"/>
        <v>#NAME?</v>
      </c>
      <c r="M37" s="25" t="e">
        <f t="shared" si="17"/>
        <v>#NAME?</v>
      </c>
      <c r="N37" s="25" t="e">
        <f t="shared" si="17"/>
        <v>#NAME?</v>
      </c>
      <c r="O37" s="25" t="e">
        <f t="shared" si="17"/>
        <v>#NAME?</v>
      </c>
      <c r="P37" s="25" t="e">
        <f t="shared" si="17"/>
        <v>#NAME?</v>
      </c>
      <c r="Q37" s="25" t="e">
        <f t="shared" si="17"/>
        <v>#NAME?</v>
      </c>
      <c r="R37" s="25" t="e">
        <f t="shared" si="17"/>
        <v>#NAME?</v>
      </c>
      <c r="S37" s="25" t="e">
        <f t="shared" si="17"/>
        <v>#NAME?</v>
      </c>
      <c r="T37" s="25" t="e">
        <f t="shared" si="17"/>
        <v>#NAME?</v>
      </c>
      <c r="U37" s="25" t="e">
        <f t="shared" si="17"/>
        <v>#NAME?</v>
      </c>
      <c r="V37" s="25" t="e">
        <f t="shared" si="17"/>
        <v>#NAME?</v>
      </c>
      <c r="W37" s="25" t="e">
        <f t="shared" si="17"/>
        <v>#NAME?</v>
      </c>
      <c r="X37" s="25" t="e">
        <f t="shared" si="17"/>
        <v>#NAME?</v>
      </c>
    </row>
    <row r="38" spans="1:24" ht="12.75">
      <c r="A38" s="14"/>
      <c r="B38" s="14"/>
      <c r="C38" s="21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</row>
    <row r="39" spans="1:24" ht="12.75">
      <c r="A39" s="14"/>
      <c r="B39" s="14"/>
      <c r="C39" s="2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</row>
    <row r="40" spans="1:24" ht="12.75">
      <c r="A40" s="8"/>
      <c r="B40" s="8"/>
      <c r="C40" s="11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</row>
    <row r="41" spans="1:24" ht="12.75">
      <c r="A41" s="13"/>
      <c r="B41" s="13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5:24" ht="18.75">
      <c r="E42" s="77" t="s">
        <v>42</v>
      </c>
      <c r="F42" s="78"/>
      <c r="G42" s="79"/>
      <c r="H42" s="7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2.75">
      <c r="A43" s="2"/>
      <c r="B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3:24" ht="12.75">
      <c r="C44" s="9">
        <v>1997</v>
      </c>
      <c r="D44" s="10" t="s">
        <v>0</v>
      </c>
      <c r="E44" s="10" t="s">
        <v>1</v>
      </c>
      <c r="F44" s="10" t="s">
        <v>2</v>
      </c>
      <c r="G44" s="10" t="s">
        <v>3</v>
      </c>
      <c r="H44" s="10" t="s">
        <v>4</v>
      </c>
      <c r="I44" s="10" t="s">
        <v>5</v>
      </c>
      <c r="J44" s="10" t="s">
        <v>6</v>
      </c>
      <c r="K44" s="10" t="s">
        <v>7</v>
      </c>
      <c r="L44" s="10" t="s">
        <v>8</v>
      </c>
      <c r="M44" s="10" t="s">
        <v>9</v>
      </c>
      <c r="N44" s="10" t="s">
        <v>59</v>
      </c>
      <c r="O44" s="10" t="s">
        <v>60</v>
      </c>
      <c r="P44" s="10" t="s">
        <v>61</v>
      </c>
      <c r="Q44" s="10" t="s">
        <v>62</v>
      </c>
      <c r="R44" s="10" t="s">
        <v>63</v>
      </c>
      <c r="S44" s="10" t="s">
        <v>64</v>
      </c>
      <c r="T44" s="10" t="s">
        <v>65</v>
      </c>
      <c r="U44" s="10" t="s">
        <v>66</v>
      </c>
      <c r="V44" s="10" t="s">
        <v>67</v>
      </c>
      <c r="W44" s="10" t="s">
        <v>68</v>
      </c>
      <c r="X44" s="10" t="s">
        <v>74</v>
      </c>
    </row>
    <row r="45" spans="1:24" ht="12.75">
      <c r="A45" s="14" t="s">
        <v>20</v>
      </c>
      <c r="B45" s="14"/>
      <c r="C45" s="21" t="e">
        <f aca="true" t="shared" si="18" ref="C45:X45">C37</f>
        <v>#NAME?</v>
      </c>
      <c r="D45" s="21" t="e">
        <f t="shared" si="18"/>
        <v>#NAME?</v>
      </c>
      <c r="E45" s="21" t="e">
        <f t="shared" si="18"/>
        <v>#NAME?</v>
      </c>
      <c r="F45" s="21" t="e">
        <f t="shared" si="18"/>
        <v>#NAME?</v>
      </c>
      <c r="G45" s="21" t="e">
        <f t="shared" si="18"/>
        <v>#NAME?</v>
      </c>
      <c r="H45" s="21" t="e">
        <f t="shared" si="18"/>
        <v>#NAME?</v>
      </c>
      <c r="I45" s="21" t="e">
        <f t="shared" si="18"/>
        <v>#NAME?</v>
      </c>
      <c r="J45" s="21" t="e">
        <f t="shared" si="18"/>
        <v>#NAME?</v>
      </c>
      <c r="K45" s="21" t="e">
        <f t="shared" si="18"/>
        <v>#NAME?</v>
      </c>
      <c r="L45" s="21" t="e">
        <f t="shared" si="18"/>
        <v>#NAME?</v>
      </c>
      <c r="M45" s="21" t="e">
        <f t="shared" si="18"/>
        <v>#NAME?</v>
      </c>
      <c r="N45" s="21" t="e">
        <f t="shared" si="18"/>
        <v>#NAME?</v>
      </c>
      <c r="O45" s="21" t="e">
        <f t="shared" si="18"/>
        <v>#NAME?</v>
      </c>
      <c r="P45" s="21" t="e">
        <f t="shared" si="18"/>
        <v>#NAME?</v>
      </c>
      <c r="Q45" s="21" t="e">
        <f t="shared" si="18"/>
        <v>#NAME?</v>
      </c>
      <c r="R45" s="21" t="e">
        <f t="shared" si="18"/>
        <v>#NAME?</v>
      </c>
      <c r="S45" s="21" t="e">
        <f t="shared" si="18"/>
        <v>#NAME?</v>
      </c>
      <c r="T45" s="21" t="e">
        <f t="shared" si="18"/>
        <v>#NAME?</v>
      </c>
      <c r="U45" s="21" t="e">
        <f t="shared" si="18"/>
        <v>#NAME?</v>
      </c>
      <c r="V45" s="21" t="e">
        <f t="shared" si="18"/>
        <v>#NAME?</v>
      </c>
      <c r="W45" s="21" t="e">
        <f t="shared" si="18"/>
        <v>#NAME?</v>
      </c>
      <c r="X45" s="21" t="e">
        <f t="shared" si="18"/>
        <v>#NAME?</v>
      </c>
    </row>
    <row r="46" spans="1:24" ht="12.75">
      <c r="A46" s="14"/>
      <c r="B46" s="1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</row>
    <row r="47" spans="1:24" ht="12.75">
      <c r="A47" s="4" t="s">
        <v>29</v>
      </c>
      <c r="B47" s="4"/>
      <c r="C47" s="11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ht="12.75">
      <c r="A48" s="8" t="s">
        <v>30</v>
      </c>
      <c r="B48" s="11">
        <v>45</v>
      </c>
      <c r="C48" s="21" t="e">
        <f aca="true" t="shared" si="19" ref="C48:X48">C19*$B$48/365</f>
        <v>#NAME?</v>
      </c>
      <c r="D48" s="21" t="e">
        <f t="shared" si="19"/>
        <v>#NAME?</v>
      </c>
      <c r="E48" s="21" t="e">
        <f t="shared" si="19"/>
        <v>#NAME?</v>
      </c>
      <c r="F48" s="21" t="e">
        <f t="shared" si="19"/>
        <v>#NAME?</v>
      </c>
      <c r="G48" s="21" t="e">
        <f t="shared" si="19"/>
        <v>#NAME?</v>
      </c>
      <c r="H48" s="21" t="e">
        <f t="shared" si="19"/>
        <v>#NAME?</v>
      </c>
      <c r="I48" s="21" t="e">
        <f t="shared" si="19"/>
        <v>#NAME?</v>
      </c>
      <c r="J48" s="21" t="e">
        <f t="shared" si="19"/>
        <v>#NAME?</v>
      </c>
      <c r="K48" s="21" t="e">
        <f t="shared" si="19"/>
        <v>#NAME?</v>
      </c>
      <c r="L48" s="21" t="e">
        <f t="shared" si="19"/>
        <v>#NAME?</v>
      </c>
      <c r="M48" s="21" t="e">
        <f t="shared" si="19"/>
        <v>#NAME?</v>
      </c>
      <c r="N48" s="21" t="e">
        <f t="shared" si="19"/>
        <v>#NAME?</v>
      </c>
      <c r="O48" s="21" t="e">
        <f t="shared" si="19"/>
        <v>#NAME?</v>
      </c>
      <c r="P48" s="21" t="e">
        <f t="shared" si="19"/>
        <v>#NAME?</v>
      </c>
      <c r="Q48" s="21" t="e">
        <f t="shared" si="19"/>
        <v>#NAME?</v>
      </c>
      <c r="R48" s="21" t="e">
        <f t="shared" si="19"/>
        <v>#NAME?</v>
      </c>
      <c r="S48" s="21" t="e">
        <f t="shared" si="19"/>
        <v>#NAME?</v>
      </c>
      <c r="T48" s="21" t="e">
        <f t="shared" si="19"/>
        <v>#NAME?</v>
      </c>
      <c r="U48" s="21" t="e">
        <f t="shared" si="19"/>
        <v>#NAME?</v>
      </c>
      <c r="V48" s="21" t="e">
        <f t="shared" si="19"/>
        <v>#NAME?</v>
      </c>
      <c r="W48" s="21" t="e">
        <f t="shared" si="19"/>
        <v>#NAME?</v>
      </c>
      <c r="X48" s="21" t="e">
        <f t="shared" si="19"/>
        <v>#NAME?</v>
      </c>
    </row>
    <row r="49" spans="1:24" ht="12.75">
      <c r="A49" s="8" t="s">
        <v>31</v>
      </c>
      <c r="B49" s="11">
        <v>90</v>
      </c>
      <c r="C49" s="21" t="e">
        <f aca="true" t="shared" si="20" ref="C49:X49">C19*(1-$B$20)*$B$49/365</f>
        <v>#NAME?</v>
      </c>
      <c r="D49" s="21" t="e">
        <f t="shared" si="20"/>
        <v>#NAME?</v>
      </c>
      <c r="E49" s="21" t="e">
        <f t="shared" si="20"/>
        <v>#NAME?</v>
      </c>
      <c r="F49" s="21" t="e">
        <f t="shared" si="20"/>
        <v>#NAME?</v>
      </c>
      <c r="G49" s="21" t="e">
        <f t="shared" si="20"/>
        <v>#NAME?</v>
      </c>
      <c r="H49" s="21" t="e">
        <f t="shared" si="20"/>
        <v>#NAME?</v>
      </c>
      <c r="I49" s="21" t="e">
        <f t="shared" si="20"/>
        <v>#NAME?</v>
      </c>
      <c r="J49" s="21" t="e">
        <f t="shared" si="20"/>
        <v>#NAME?</v>
      </c>
      <c r="K49" s="21" t="e">
        <f t="shared" si="20"/>
        <v>#NAME?</v>
      </c>
      <c r="L49" s="21" t="e">
        <f t="shared" si="20"/>
        <v>#NAME?</v>
      </c>
      <c r="M49" s="21" t="e">
        <f t="shared" si="20"/>
        <v>#NAME?</v>
      </c>
      <c r="N49" s="21" t="e">
        <f t="shared" si="20"/>
        <v>#NAME?</v>
      </c>
      <c r="O49" s="21" t="e">
        <f t="shared" si="20"/>
        <v>#NAME?</v>
      </c>
      <c r="P49" s="21" t="e">
        <f t="shared" si="20"/>
        <v>#NAME?</v>
      </c>
      <c r="Q49" s="21" t="e">
        <f t="shared" si="20"/>
        <v>#NAME?</v>
      </c>
      <c r="R49" s="21" t="e">
        <f t="shared" si="20"/>
        <v>#NAME?</v>
      </c>
      <c r="S49" s="21" t="e">
        <f t="shared" si="20"/>
        <v>#NAME?</v>
      </c>
      <c r="T49" s="21" t="e">
        <f t="shared" si="20"/>
        <v>#NAME?</v>
      </c>
      <c r="U49" s="21" t="e">
        <f t="shared" si="20"/>
        <v>#NAME?</v>
      </c>
      <c r="V49" s="21" t="e">
        <f t="shared" si="20"/>
        <v>#NAME?</v>
      </c>
      <c r="W49" s="21" t="e">
        <f t="shared" si="20"/>
        <v>#NAME?</v>
      </c>
      <c r="X49" s="21" t="e">
        <f t="shared" si="20"/>
        <v>#NAME?</v>
      </c>
    </row>
    <row r="50" spans="1:24" ht="15">
      <c r="A50" s="8" t="s">
        <v>32</v>
      </c>
      <c r="B50" s="11">
        <v>45</v>
      </c>
      <c r="C50" s="43" t="e">
        <f aca="true" t="shared" si="21" ref="C50:X50">-C19*(1-$B$20)*$B$50/365</f>
        <v>#NAME?</v>
      </c>
      <c r="D50" s="43" t="e">
        <f t="shared" si="21"/>
        <v>#NAME?</v>
      </c>
      <c r="E50" s="43" t="e">
        <f t="shared" si="21"/>
        <v>#NAME?</v>
      </c>
      <c r="F50" s="43" t="e">
        <f t="shared" si="21"/>
        <v>#NAME?</v>
      </c>
      <c r="G50" s="43" t="e">
        <f t="shared" si="21"/>
        <v>#NAME?</v>
      </c>
      <c r="H50" s="43" t="e">
        <f t="shared" si="21"/>
        <v>#NAME?</v>
      </c>
      <c r="I50" s="43" t="e">
        <f t="shared" si="21"/>
        <v>#NAME?</v>
      </c>
      <c r="J50" s="43" t="e">
        <f t="shared" si="21"/>
        <v>#NAME?</v>
      </c>
      <c r="K50" s="43" t="e">
        <f t="shared" si="21"/>
        <v>#NAME?</v>
      </c>
      <c r="L50" s="43" t="e">
        <f t="shared" si="21"/>
        <v>#NAME?</v>
      </c>
      <c r="M50" s="43" t="e">
        <f t="shared" si="21"/>
        <v>#NAME?</v>
      </c>
      <c r="N50" s="43" t="e">
        <f t="shared" si="21"/>
        <v>#NAME?</v>
      </c>
      <c r="O50" s="43" t="e">
        <f t="shared" si="21"/>
        <v>#NAME?</v>
      </c>
      <c r="P50" s="43" t="e">
        <f t="shared" si="21"/>
        <v>#NAME?</v>
      </c>
      <c r="Q50" s="43" t="e">
        <f t="shared" si="21"/>
        <v>#NAME?</v>
      </c>
      <c r="R50" s="43" t="e">
        <f t="shared" si="21"/>
        <v>#NAME?</v>
      </c>
      <c r="S50" s="43" t="e">
        <f t="shared" si="21"/>
        <v>#NAME?</v>
      </c>
      <c r="T50" s="43" t="e">
        <f t="shared" si="21"/>
        <v>#NAME?</v>
      </c>
      <c r="U50" s="43" t="e">
        <f t="shared" si="21"/>
        <v>#NAME?</v>
      </c>
      <c r="V50" s="43" t="e">
        <f t="shared" si="21"/>
        <v>#NAME?</v>
      </c>
      <c r="W50" s="43" t="e">
        <f t="shared" si="21"/>
        <v>#NAME?</v>
      </c>
      <c r="X50" s="43" t="e">
        <f t="shared" si="21"/>
        <v>#NAME?</v>
      </c>
    </row>
    <row r="51" spans="1:24" ht="12.75">
      <c r="A51" s="8" t="s">
        <v>34</v>
      </c>
      <c r="B51" s="8"/>
      <c r="C51" s="21" t="e">
        <f aca="true" t="shared" si="22" ref="C51:X51">SUM(C48:C50)</f>
        <v>#NAME?</v>
      </c>
      <c r="D51" s="21" t="e">
        <f t="shared" si="22"/>
        <v>#NAME?</v>
      </c>
      <c r="E51" s="21" t="e">
        <f t="shared" si="22"/>
        <v>#NAME?</v>
      </c>
      <c r="F51" s="21" t="e">
        <f t="shared" si="22"/>
        <v>#NAME?</v>
      </c>
      <c r="G51" s="21" t="e">
        <f t="shared" si="22"/>
        <v>#NAME?</v>
      </c>
      <c r="H51" s="21" t="e">
        <f t="shared" si="22"/>
        <v>#NAME?</v>
      </c>
      <c r="I51" s="21" t="e">
        <f t="shared" si="22"/>
        <v>#NAME?</v>
      </c>
      <c r="J51" s="21" t="e">
        <f t="shared" si="22"/>
        <v>#NAME?</v>
      </c>
      <c r="K51" s="21" t="e">
        <f t="shared" si="22"/>
        <v>#NAME?</v>
      </c>
      <c r="L51" s="21" t="e">
        <f t="shared" si="22"/>
        <v>#NAME?</v>
      </c>
      <c r="M51" s="21" t="e">
        <f t="shared" si="22"/>
        <v>#NAME?</v>
      </c>
      <c r="N51" s="21" t="e">
        <f t="shared" si="22"/>
        <v>#NAME?</v>
      </c>
      <c r="O51" s="21" t="e">
        <f t="shared" si="22"/>
        <v>#NAME?</v>
      </c>
      <c r="P51" s="21" t="e">
        <f t="shared" si="22"/>
        <v>#NAME?</v>
      </c>
      <c r="Q51" s="21" t="e">
        <f t="shared" si="22"/>
        <v>#NAME?</v>
      </c>
      <c r="R51" s="21" t="e">
        <f t="shared" si="22"/>
        <v>#NAME?</v>
      </c>
      <c r="S51" s="21" t="e">
        <f t="shared" si="22"/>
        <v>#NAME?</v>
      </c>
      <c r="T51" s="21" t="e">
        <f t="shared" si="22"/>
        <v>#NAME?</v>
      </c>
      <c r="U51" s="21" t="e">
        <f t="shared" si="22"/>
        <v>#NAME?</v>
      </c>
      <c r="V51" s="21" t="e">
        <f t="shared" si="22"/>
        <v>#NAME?</v>
      </c>
      <c r="W51" s="21" t="e">
        <f t="shared" si="22"/>
        <v>#NAME?</v>
      </c>
      <c r="X51" s="21" t="e">
        <f t="shared" si="22"/>
        <v>#NAME?</v>
      </c>
    </row>
    <row r="52" spans="1:24" ht="12.75">
      <c r="A52" s="8" t="s">
        <v>35</v>
      </c>
      <c r="B52" s="8"/>
      <c r="C52" s="21" t="e">
        <f>C51</f>
        <v>#NAME?</v>
      </c>
      <c r="D52" s="38" t="e">
        <f aca="true" t="shared" si="23" ref="D52:X52">-D51+C51</f>
        <v>#NAME?</v>
      </c>
      <c r="E52" s="38" t="e">
        <f t="shared" si="23"/>
        <v>#NAME?</v>
      </c>
      <c r="F52" s="38" t="e">
        <f t="shared" si="23"/>
        <v>#NAME?</v>
      </c>
      <c r="G52" s="38" t="e">
        <f t="shared" si="23"/>
        <v>#NAME?</v>
      </c>
      <c r="H52" s="38" t="e">
        <f t="shared" si="23"/>
        <v>#NAME?</v>
      </c>
      <c r="I52" s="38" t="e">
        <f t="shared" si="23"/>
        <v>#NAME?</v>
      </c>
      <c r="J52" s="38" t="e">
        <f t="shared" si="23"/>
        <v>#NAME?</v>
      </c>
      <c r="K52" s="38" t="e">
        <f t="shared" si="23"/>
        <v>#NAME?</v>
      </c>
      <c r="L52" s="38" t="e">
        <f t="shared" si="23"/>
        <v>#NAME?</v>
      </c>
      <c r="M52" s="38" t="e">
        <f t="shared" si="23"/>
        <v>#NAME?</v>
      </c>
      <c r="N52" s="38" t="e">
        <f t="shared" si="23"/>
        <v>#NAME?</v>
      </c>
      <c r="O52" s="38" t="e">
        <f t="shared" si="23"/>
        <v>#NAME?</v>
      </c>
      <c r="P52" s="38" t="e">
        <f t="shared" si="23"/>
        <v>#NAME?</v>
      </c>
      <c r="Q52" s="38" t="e">
        <f t="shared" si="23"/>
        <v>#NAME?</v>
      </c>
      <c r="R52" s="38" t="e">
        <f t="shared" si="23"/>
        <v>#NAME?</v>
      </c>
      <c r="S52" s="38" t="e">
        <f t="shared" si="23"/>
        <v>#NAME?</v>
      </c>
      <c r="T52" s="38" t="e">
        <f t="shared" si="23"/>
        <v>#NAME?</v>
      </c>
      <c r="U52" s="38" t="e">
        <f t="shared" si="23"/>
        <v>#NAME?</v>
      </c>
      <c r="V52" s="38" t="e">
        <f t="shared" si="23"/>
        <v>#NAME?</v>
      </c>
      <c r="W52" s="38" t="e">
        <f t="shared" si="23"/>
        <v>#NAME?</v>
      </c>
      <c r="X52" s="38" t="e">
        <f t="shared" si="23"/>
        <v>#NAME?</v>
      </c>
    </row>
    <row r="53" spans="1:24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ht="12.75">
      <c r="A54" s="8" t="s">
        <v>36</v>
      </c>
      <c r="B54" s="8"/>
      <c r="C54" s="25">
        <v>-3500</v>
      </c>
      <c r="D54" s="25">
        <v>-2500</v>
      </c>
      <c r="E54" s="25">
        <v>-8000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</row>
    <row r="55" spans="1:24" ht="12.75">
      <c r="A55" s="8" t="s">
        <v>37</v>
      </c>
      <c r="B55" s="8"/>
      <c r="C55" s="30">
        <f aca="true" t="shared" si="24" ref="C55:X55">C30</f>
        <v>400</v>
      </c>
      <c r="D55" s="30">
        <f t="shared" si="24"/>
        <v>400</v>
      </c>
      <c r="E55" s="30">
        <f t="shared" si="24"/>
        <v>950</v>
      </c>
      <c r="F55" s="30">
        <f t="shared" si="24"/>
        <v>950</v>
      </c>
      <c r="G55" s="30">
        <f t="shared" si="24"/>
        <v>950</v>
      </c>
      <c r="H55" s="30">
        <f t="shared" si="24"/>
        <v>950</v>
      </c>
      <c r="I55" s="30">
        <f t="shared" si="24"/>
        <v>950</v>
      </c>
      <c r="J55" s="30">
        <f t="shared" si="24"/>
        <v>950</v>
      </c>
      <c r="K55" s="30">
        <f t="shared" si="24"/>
        <v>950</v>
      </c>
      <c r="L55" s="30">
        <f t="shared" si="24"/>
        <v>950</v>
      </c>
      <c r="M55" s="30">
        <f t="shared" si="24"/>
        <v>950</v>
      </c>
      <c r="N55" s="30">
        <f t="shared" si="24"/>
        <v>950</v>
      </c>
      <c r="O55" s="30">
        <f t="shared" si="24"/>
        <v>950</v>
      </c>
      <c r="P55" s="30">
        <f t="shared" si="24"/>
        <v>950</v>
      </c>
      <c r="Q55" s="30">
        <f t="shared" si="24"/>
        <v>950</v>
      </c>
      <c r="R55" s="30">
        <f t="shared" si="24"/>
        <v>950</v>
      </c>
      <c r="S55" s="30">
        <f t="shared" si="24"/>
        <v>950</v>
      </c>
      <c r="T55" s="30">
        <f t="shared" si="24"/>
        <v>950</v>
      </c>
      <c r="U55" s="30">
        <f t="shared" si="24"/>
        <v>950</v>
      </c>
      <c r="V55" s="30">
        <f t="shared" si="24"/>
        <v>950</v>
      </c>
      <c r="W55" s="30">
        <f t="shared" si="24"/>
        <v>950</v>
      </c>
      <c r="X55" s="30">
        <f t="shared" si="24"/>
        <v>950</v>
      </c>
    </row>
    <row r="56" spans="1:24" ht="12.75">
      <c r="A56" s="14" t="s">
        <v>38</v>
      </c>
      <c r="B56" s="8"/>
      <c r="C56" s="21" t="e">
        <f aca="true" t="shared" si="25" ref="C56:X56">C45+C52+C54+C55</f>
        <v>#NAME?</v>
      </c>
      <c r="D56" s="21" t="e">
        <f t="shared" si="25"/>
        <v>#NAME?</v>
      </c>
      <c r="E56" s="21" t="e">
        <f t="shared" si="25"/>
        <v>#NAME?</v>
      </c>
      <c r="F56" s="21" t="e">
        <f t="shared" si="25"/>
        <v>#NAME?</v>
      </c>
      <c r="G56" s="21" t="e">
        <f t="shared" si="25"/>
        <v>#NAME?</v>
      </c>
      <c r="H56" s="21" t="e">
        <f t="shared" si="25"/>
        <v>#NAME?</v>
      </c>
      <c r="I56" s="21" t="e">
        <f t="shared" si="25"/>
        <v>#NAME?</v>
      </c>
      <c r="J56" s="21" t="e">
        <f t="shared" si="25"/>
        <v>#NAME?</v>
      </c>
      <c r="K56" s="21" t="e">
        <f t="shared" si="25"/>
        <v>#NAME?</v>
      </c>
      <c r="L56" s="21" t="e">
        <f t="shared" si="25"/>
        <v>#NAME?</v>
      </c>
      <c r="M56" s="21" t="e">
        <f t="shared" si="25"/>
        <v>#NAME?</v>
      </c>
      <c r="N56" s="21" t="e">
        <f t="shared" si="25"/>
        <v>#NAME?</v>
      </c>
      <c r="O56" s="21" t="e">
        <f t="shared" si="25"/>
        <v>#NAME?</v>
      </c>
      <c r="P56" s="21" t="e">
        <f t="shared" si="25"/>
        <v>#NAME?</v>
      </c>
      <c r="Q56" s="21" t="e">
        <f t="shared" si="25"/>
        <v>#NAME?</v>
      </c>
      <c r="R56" s="21" t="e">
        <f t="shared" si="25"/>
        <v>#NAME?</v>
      </c>
      <c r="S56" s="21" t="e">
        <f t="shared" si="25"/>
        <v>#NAME?</v>
      </c>
      <c r="T56" s="21" t="e">
        <f t="shared" si="25"/>
        <v>#NAME?</v>
      </c>
      <c r="U56" s="21" t="e">
        <f t="shared" si="25"/>
        <v>#NAME?</v>
      </c>
      <c r="V56" s="21" t="e">
        <f t="shared" si="25"/>
        <v>#NAME?</v>
      </c>
      <c r="W56" s="21" t="e">
        <f t="shared" si="25"/>
        <v>#NAME?</v>
      </c>
      <c r="X56" s="21" t="e">
        <f t="shared" si="25"/>
        <v>#NAME?</v>
      </c>
    </row>
    <row r="57" spans="1:24" ht="18">
      <c r="A57" s="8" t="s">
        <v>41</v>
      </c>
      <c r="B57" s="8"/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87" t="e">
        <f aca="true" t="shared" si="26" ref="L57:X57">IF($F$7+1998&gt;=L9,IF($F$7+1998&lt;L9+1,L51,0),0)</f>
        <v>#NAME?</v>
      </c>
      <c r="M57" s="87" t="e">
        <f t="shared" si="26"/>
        <v>#NAME?</v>
      </c>
      <c r="N57" s="87" t="e">
        <f t="shared" si="26"/>
        <v>#NAME?</v>
      </c>
      <c r="O57" s="87" t="e">
        <f t="shared" si="26"/>
        <v>#NAME?</v>
      </c>
      <c r="P57" s="87" t="e">
        <f t="shared" si="26"/>
        <v>#NAME?</v>
      </c>
      <c r="Q57" s="87" t="e">
        <f t="shared" si="26"/>
        <v>#NAME?</v>
      </c>
      <c r="R57" s="87" t="e">
        <f t="shared" si="26"/>
        <v>#NAME?</v>
      </c>
      <c r="S57" s="87" t="e">
        <f t="shared" si="26"/>
        <v>#NAME?</v>
      </c>
      <c r="T57" s="87" t="e">
        <f t="shared" si="26"/>
        <v>#NAME?</v>
      </c>
      <c r="U57" s="87" t="e">
        <f t="shared" si="26"/>
        <v>#NAME?</v>
      </c>
      <c r="V57" s="87" t="e">
        <f t="shared" si="26"/>
        <v>#NAME?</v>
      </c>
      <c r="W57" s="87" t="e">
        <f t="shared" si="26"/>
        <v>#NAME?</v>
      </c>
      <c r="X57" s="87" t="e">
        <f t="shared" si="26"/>
        <v>#NAME?</v>
      </c>
    </row>
    <row r="58" spans="1:24" ht="12.75">
      <c r="A58" s="49" t="s">
        <v>58</v>
      </c>
      <c r="B58" s="8"/>
      <c r="C58" s="21" t="e">
        <f>C56+C57</f>
        <v>#NAME?</v>
      </c>
      <c r="D58" s="21" t="e">
        <f>D56+D57</f>
        <v>#NAME?</v>
      </c>
      <c r="E58" s="21" t="e">
        <f aca="true" t="shared" si="27" ref="E58:L58">(E56+E57)*$B$4</f>
        <v>#NAME?</v>
      </c>
      <c r="F58" s="21" t="e">
        <f t="shared" si="27"/>
        <v>#NAME?</v>
      </c>
      <c r="G58" s="21" t="e">
        <f t="shared" si="27"/>
        <v>#NAME?</v>
      </c>
      <c r="H58" s="21" t="e">
        <f t="shared" si="27"/>
        <v>#NAME?</v>
      </c>
      <c r="I58" s="21" t="e">
        <f t="shared" si="27"/>
        <v>#NAME?</v>
      </c>
      <c r="J58" s="21" t="e">
        <f t="shared" si="27"/>
        <v>#NAME?</v>
      </c>
      <c r="K58" s="21" t="e">
        <f t="shared" si="27"/>
        <v>#NAME?</v>
      </c>
      <c r="L58" s="21" t="e">
        <f t="shared" si="27"/>
        <v>#NAME?</v>
      </c>
      <c r="M58" s="21" t="e">
        <f aca="true" t="shared" si="28" ref="M58:X58">IF(M9&lt;=$F$7+1998,(M56+M57)*$B$4,0)</f>
        <v>#NAME?</v>
      </c>
      <c r="N58" s="21" t="e">
        <f t="shared" si="28"/>
        <v>#NAME?</v>
      </c>
      <c r="O58" s="21" t="e">
        <f t="shared" si="28"/>
        <v>#NAME?</v>
      </c>
      <c r="P58" s="21" t="e">
        <f t="shared" si="28"/>
        <v>#NAME?</v>
      </c>
      <c r="Q58" s="21" t="e">
        <f t="shared" si="28"/>
        <v>#NAME?</v>
      </c>
      <c r="R58" s="21" t="e">
        <f t="shared" si="28"/>
        <v>#NAME?</v>
      </c>
      <c r="S58" s="21" t="e">
        <f t="shared" si="28"/>
        <v>#NAME?</v>
      </c>
      <c r="T58" s="21" t="e">
        <f t="shared" si="28"/>
        <v>#NAME?</v>
      </c>
      <c r="U58" s="21" t="e">
        <f t="shared" si="28"/>
        <v>#NAME?</v>
      </c>
      <c r="V58" s="21" t="e">
        <f t="shared" si="28"/>
        <v>#NAME?</v>
      </c>
      <c r="W58" s="21" t="e">
        <f t="shared" si="28"/>
        <v>#NAME?</v>
      </c>
      <c r="X58" s="21" t="e">
        <f t="shared" si="28"/>
        <v>#NAME?</v>
      </c>
    </row>
    <row r="59" spans="1:24" ht="12.75">
      <c r="A59" s="56" t="s">
        <v>84</v>
      </c>
      <c r="B59" s="11"/>
      <c r="C59" s="66">
        <f>C2</f>
        <v>27500</v>
      </c>
      <c r="D59" s="66" t="s">
        <v>47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ht="12.75">
      <c r="A60" s="56"/>
      <c r="B60" s="11"/>
      <c r="C60" s="8"/>
      <c r="D60" s="66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ht="12.75">
      <c r="A61" s="46"/>
      <c r="B61" s="9" t="s">
        <v>81</v>
      </c>
      <c r="C61" s="14" t="s">
        <v>82</v>
      </c>
      <c r="D61" s="81" t="s">
        <v>83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ht="12.75">
      <c r="A62" s="56" t="s">
        <v>80</v>
      </c>
      <c r="B62" s="84" t="e">
        <f>NPV(J7,D58:X58)+C58</f>
        <v>#NAME?</v>
      </c>
      <c r="C62" s="82" t="e">
        <f>$G$2*B62</f>
        <v>#NAME?</v>
      </c>
      <c r="D62" s="80" t="e">
        <f>(1-$G$2)*B62</f>
        <v>#NAME?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ht="12.75">
      <c r="A63" s="56" t="s">
        <v>85</v>
      </c>
      <c r="C63" s="85">
        <f>NPV(J7,D59:X59)+C59</f>
        <v>27500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2.75">
      <c r="A64" s="8" t="s">
        <v>78</v>
      </c>
      <c r="C64" s="97" t="e">
        <f>C62-C63+[2]!outputv()</f>
        <v>#NAME?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ht="12.75">
      <c r="A65" s="8"/>
      <c r="B65" s="67"/>
      <c r="C65" s="30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ht="12.75">
      <c r="A66" s="8"/>
      <c r="B66" s="8"/>
      <c r="C66" s="11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ht="12.75">
      <c r="A67" s="8"/>
      <c r="B67" s="8"/>
      <c r="C67" s="11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ht="12.75">
      <c r="A68" s="8"/>
      <c r="B68" s="8"/>
      <c r="C68" s="11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ht="12.75">
      <c r="A69" s="8"/>
      <c r="B69" s="8"/>
      <c r="C69" s="11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ht="12.75">
      <c r="A70" s="8"/>
      <c r="B70" s="8"/>
      <c r="C70" s="11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ht="12.75">
      <c r="A71" s="8"/>
      <c r="B71" s="8"/>
      <c r="C71" s="40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ht="12.75">
      <c r="A72" s="8"/>
      <c r="B72" s="8"/>
      <c r="C72" s="11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ht="12.75">
      <c r="A73" s="8"/>
      <c r="B73" s="8"/>
      <c r="C73" s="11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ht="12.75">
      <c r="A74" s="8"/>
      <c r="B74" s="8"/>
      <c r="C74" s="11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ht="12.75">
      <c r="A75" s="8"/>
      <c r="B75" s="8"/>
      <c r="C75" s="1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ht="12.75">
      <c r="A76" s="8"/>
      <c r="B76" s="8"/>
      <c r="C76" s="11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ht="12.75">
      <c r="A77" s="8"/>
      <c r="B77" s="8"/>
      <c r="C77" s="11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ht="12.75">
      <c r="A78" s="8"/>
      <c r="B78" s="8"/>
      <c r="C78" s="45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ht="12.75">
      <c r="A79" s="8"/>
      <c r="B79" s="8"/>
      <c r="C79" s="45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ht="12.75">
      <c r="A80" s="8"/>
      <c r="B80" s="8"/>
      <c r="C80" s="45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ht="12.75">
      <c r="A81" s="8"/>
      <c r="B81" s="8"/>
      <c r="C81" s="1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ht="12.75">
      <c r="A82" s="8"/>
      <c r="B82" s="8"/>
      <c r="C82" s="11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ht="12.75">
      <c r="A83" s="8"/>
      <c r="B83" s="8"/>
      <c r="C83" s="11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ht="12.75">
      <c r="A84" s="8"/>
      <c r="B84" s="8"/>
      <c r="C84" s="11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12.75">
      <c r="A85" s="8"/>
      <c r="B85" s="8"/>
      <c r="C85" s="11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12.75">
      <c r="A86" s="8"/>
      <c r="B86" s="8"/>
      <c r="C86" s="11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12.75">
      <c r="A87" s="13"/>
      <c r="B87" s="13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13"/>
      <c r="O87" s="13"/>
      <c r="P87" s="8"/>
      <c r="Q87" s="8"/>
      <c r="R87" s="8"/>
      <c r="S87" s="8"/>
      <c r="T87" s="8"/>
      <c r="U87" s="8"/>
      <c r="V87" s="8"/>
      <c r="W87" s="8"/>
      <c r="X87" s="8"/>
    </row>
    <row r="88" spans="1:24" ht="12.75">
      <c r="A88" s="8"/>
      <c r="B88" s="8"/>
      <c r="C88" s="11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ht="12.75">
      <c r="A89" s="11"/>
      <c r="B89" s="11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2.75">
      <c r="A90" s="11"/>
      <c r="B90" s="11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2.75">
      <c r="A91" s="11"/>
      <c r="B91" s="11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12.75">
      <c r="A92" s="11"/>
      <c r="B92" s="11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12.75">
      <c r="A93" s="11"/>
      <c r="B93" s="11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ht="12.75">
      <c r="A94" s="11"/>
      <c r="B94" s="11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4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</row>
    <row r="100" spans="1:24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</row>
    <row r="101" spans="1:24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</row>
    <row r="102" spans="1:24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</row>
    <row r="103" spans="1:24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</row>
    <row r="104" spans="1:24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</row>
    <row r="105" spans="1:24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</row>
    <row r="106" spans="1:24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</row>
    <row r="107" spans="1:24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</row>
    <row r="108" spans="1:24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</row>
    <row r="109" spans="1:24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</row>
    <row r="110" spans="1:24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</row>
    <row r="111" spans="1:24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</row>
    <row r="112" spans="1:24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</row>
    <row r="113" spans="1:24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</row>
    <row r="114" spans="1:24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</row>
    <row r="115" spans="1:24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</row>
    <row r="116" spans="1:24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</row>
    <row r="117" spans="1:24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</row>
    <row r="118" spans="1:24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</row>
    <row r="119" spans="1:24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</row>
    <row r="120" spans="1:24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</row>
    <row r="121" spans="1:24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</row>
    <row r="122" spans="1:24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</row>
    <row r="123" spans="1:24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</row>
    <row r="124" spans="1:24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</row>
    <row r="125" spans="1:24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</row>
    <row r="126" spans="1:24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</row>
    <row r="127" spans="1:24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</row>
    <row r="128" spans="1:24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</row>
    <row r="129" spans="1:24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</row>
    <row r="130" spans="1:24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</row>
    <row r="131" spans="1:24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</row>
    <row r="132" spans="1:24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</row>
    <row r="133" spans="1:24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</row>
    <row r="134" spans="1:24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</row>
    <row r="135" spans="1:24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</row>
    <row r="136" spans="1:24" ht="12.75">
      <c r="A136" s="8"/>
      <c r="B136" s="8"/>
      <c r="C136" s="11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</row>
    <row r="137" spans="1:24" ht="12.75">
      <c r="A137" s="8"/>
      <c r="B137" s="8"/>
      <c r="C137" s="11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</row>
    <row r="138" spans="1:24" ht="12.75">
      <c r="A138" s="8"/>
      <c r="B138" s="8"/>
      <c r="C138" s="11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</row>
    <row r="139" spans="1:24" ht="12.75">
      <c r="A139" s="8"/>
      <c r="B139" s="8"/>
      <c r="C139" s="11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</row>
    <row r="140" spans="1:24" ht="12.75">
      <c r="A140" s="8"/>
      <c r="B140" s="8"/>
      <c r="C140" s="11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</row>
    <row r="141" spans="1:24" ht="12.75">
      <c r="A141" s="8"/>
      <c r="B141" s="8"/>
      <c r="C141" s="11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</row>
    <row r="142" spans="1:24" ht="12.75">
      <c r="A142" s="8"/>
      <c r="B142" s="8"/>
      <c r="C142" s="11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</row>
    <row r="143" spans="1:24" ht="12.75">
      <c r="A143" s="8"/>
      <c r="B143" s="8"/>
      <c r="C143" s="11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</row>
    <row r="144" spans="1:24" ht="12.75">
      <c r="A144" s="8"/>
      <c r="B144" s="8"/>
      <c r="C144" s="11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</row>
    <row r="145" spans="1:24" ht="12.75">
      <c r="A145" s="8"/>
      <c r="B145" s="8"/>
      <c r="C145" s="11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</row>
    <row r="146" spans="1:24" ht="12.75">
      <c r="A146" s="8"/>
      <c r="B146" s="8"/>
      <c r="C146" s="11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</row>
    <row r="147" spans="1:24" ht="12.75">
      <c r="A147" s="8"/>
      <c r="B147" s="8"/>
      <c r="C147" s="11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</row>
    <row r="148" spans="1:24" ht="12.75">
      <c r="A148" s="8"/>
      <c r="B148" s="8"/>
      <c r="C148" s="11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</row>
    <row r="149" spans="1:24" ht="12.75">
      <c r="A149" s="8"/>
      <c r="B149" s="8"/>
      <c r="C149" s="11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</row>
    <row r="150" spans="1:24" ht="12.75">
      <c r="A150" s="8"/>
      <c r="B150" s="8"/>
      <c r="C150" s="11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</row>
    <row r="151" spans="1:24" ht="12.75">
      <c r="A151" s="8"/>
      <c r="B151" s="8"/>
      <c r="C151" s="11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</row>
    <row r="152" spans="1:24" ht="12.75">
      <c r="A152" s="8"/>
      <c r="B152" s="8"/>
      <c r="C152" s="11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</row>
    <row r="153" spans="1:24" ht="12.75">
      <c r="A153" s="8"/>
      <c r="B153" s="8"/>
      <c r="C153" s="11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</row>
    <row r="154" spans="1:24" ht="12.75">
      <c r="A154" s="8"/>
      <c r="B154" s="8"/>
      <c r="C154" s="11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</row>
    <row r="155" spans="1:24" ht="12.75">
      <c r="A155" s="8"/>
      <c r="B155" s="8"/>
      <c r="C155" s="11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</row>
    <row r="156" spans="1:24" ht="12.75">
      <c r="A156" s="8"/>
      <c r="B156" s="8"/>
      <c r="C156" s="11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</row>
    <row r="157" spans="1:24" ht="12.75">
      <c r="A157" s="8"/>
      <c r="B157" s="8"/>
      <c r="C157" s="11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</row>
    <row r="158" spans="1:24" ht="12.75">
      <c r="A158" s="8"/>
      <c r="B158" s="8"/>
      <c r="C158" s="11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</row>
    <row r="159" spans="1:24" ht="12.75">
      <c r="A159" s="8"/>
      <c r="B159" s="8"/>
      <c r="C159" s="11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</row>
    <row r="160" spans="1:24" ht="12.75">
      <c r="A160" s="8"/>
      <c r="B160" s="8"/>
      <c r="C160" s="11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</row>
    <row r="161" spans="1:24" ht="12.75">
      <c r="A161" s="8"/>
      <c r="B161" s="8"/>
      <c r="C161" s="11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</row>
    <row r="162" spans="1:24" ht="12.75">
      <c r="A162" s="8"/>
      <c r="B162" s="8"/>
      <c r="C162" s="11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</row>
    <row r="163" spans="1:24" ht="12.75">
      <c r="A163" s="8"/>
      <c r="B163" s="8"/>
      <c r="C163" s="11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</row>
    <row r="164" spans="1:24" ht="12.75">
      <c r="A164" s="8"/>
      <c r="B164" s="8"/>
      <c r="C164" s="11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</row>
    <row r="165" spans="1:24" ht="12.75">
      <c r="A165" s="8"/>
      <c r="B165" s="8"/>
      <c r="C165" s="11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</row>
    <row r="166" spans="1:24" ht="12.75">
      <c r="A166" s="8"/>
      <c r="B166" s="8"/>
      <c r="C166" s="11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</row>
    <row r="167" spans="1:24" ht="12.75">
      <c r="A167" s="8"/>
      <c r="B167" s="8"/>
      <c r="C167" s="11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</row>
    <row r="168" spans="1:24" ht="12.75">
      <c r="A168" s="8"/>
      <c r="B168" s="8"/>
      <c r="C168" s="11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</row>
    <row r="169" spans="1:24" ht="12.75">
      <c r="A169" s="8"/>
      <c r="B169" s="8"/>
      <c r="C169" s="11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</row>
    <row r="170" spans="1:24" ht="12.75">
      <c r="A170" s="8"/>
      <c r="B170" s="8"/>
      <c r="C170" s="11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</row>
    <row r="171" spans="1:24" ht="12.75">
      <c r="A171" s="8"/>
      <c r="B171" s="8"/>
      <c r="C171" s="11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</row>
    <row r="172" spans="1:24" ht="12.75">
      <c r="A172" s="8"/>
      <c r="B172" s="8"/>
      <c r="C172" s="11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</row>
    <row r="173" spans="1:24" ht="12.75">
      <c r="A173" s="8"/>
      <c r="B173" s="8"/>
      <c r="C173" s="11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</row>
    <row r="174" spans="1:24" ht="12.75">
      <c r="A174" s="8"/>
      <c r="B174" s="8"/>
      <c r="C174" s="11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</row>
    <row r="175" spans="1:24" ht="12.75">
      <c r="A175" s="8"/>
      <c r="B175" s="8"/>
      <c r="C175" s="11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</row>
    <row r="176" spans="1:24" ht="12.75">
      <c r="A176" s="8"/>
      <c r="B176" s="8"/>
      <c r="C176" s="11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</row>
    <row r="177" spans="1:24" ht="12.75">
      <c r="A177" s="8"/>
      <c r="B177" s="8"/>
      <c r="C177" s="11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</row>
    <row r="178" spans="1:24" ht="12.75">
      <c r="A178" s="8"/>
      <c r="B178" s="8"/>
      <c r="C178" s="11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</row>
    <row r="179" spans="1:24" ht="12.75">
      <c r="A179" s="8"/>
      <c r="B179" s="8"/>
      <c r="C179" s="11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</row>
    <row r="180" spans="1:24" ht="12.75">
      <c r="A180" s="8"/>
      <c r="B180" s="8"/>
      <c r="C180" s="11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</row>
    <row r="181" spans="1:24" ht="12.75">
      <c r="A181" s="8"/>
      <c r="B181" s="8"/>
      <c r="C181" s="11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</row>
    <row r="182" spans="1:24" ht="12.75">
      <c r="A182" s="8"/>
      <c r="B182" s="8"/>
      <c r="C182" s="11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</row>
    <row r="183" spans="1:24" ht="12.75">
      <c r="A183" s="8"/>
      <c r="B183" s="8"/>
      <c r="C183" s="11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</row>
    <row r="184" spans="1:24" ht="12.75">
      <c r="A184" s="8"/>
      <c r="B184" s="8"/>
      <c r="C184" s="11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</row>
    <row r="185" spans="1:24" ht="12.75">
      <c r="A185" s="8"/>
      <c r="B185" s="8"/>
      <c r="C185" s="11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</row>
    <row r="186" spans="1:24" ht="12.75">
      <c r="A186" s="8"/>
      <c r="B186" s="8"/>
      <c r="C186" s="11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</row>
    <row r="187" spans="1:24" ht="12.75">
      <c r="A187" s="8"/>
      <c r="B187" s="8"/>
      <c r="C187" s="11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</row>
    <row r="188" spans="1:24" ht="12.75">
      <c r="A188" s="8"/>
      <c r="B188" s="8"/>
      <c r="C188" s="11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</row>
    <row r="189" spans="1:24" ht="12.75">
      <c r="A189" s="8"/>
      <c r="B189" s="8"/>
      <c r="C189" s="11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</row>
    <row r="190" spans="1:24" ht="12.75">
      <c r="A190" s="8"/>
      <c r="B190" s="8"/>
      <c r="C190" s="11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</row>
    <row r="191" spans="1:24" ht="12.75">
      <c r="A191" s="8"/>
      <c r="B191" s="8"/>
      <c r="C191" s="11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</row>
    <row r="192" spans="1:24" ht="12.75">
      <c r="A192" s="8"/>
      <c r="B192" s="8"/>
      <c r="C192" s="11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</row>
    <row r="193" spans="1:24" ht="12.75">
      <c r="A193" s="8"/>
      <c r="B193" s="8"/>
      <c r="C193" s="11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</row>
    <row r="194" spans="1:24" ht="12.75">
      <c r="A194" s="8"/>
      <c r="B194" s="8"/>
      <c r="C194" s="11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</row>
    <row r="195" spans="1:24" ht="12.75">
      <c r="A195" s="8"/>
      <c r="B195" s="8"/>
      <c r="C195" s="11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</row>
    <row r="196" spans="1:24" ht="12.75">
      <c r="A196" s="8"/>
      <c r="B196" s="8"/>
      <c r="C196" s="11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</row>
    <row r="197" spans="1:24" ht="12.75">
      <c r="A197" s="8"/>
      <c r="B197" s="8"/>
      <c r="C197" s="11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</row>
    <row r="198" spans="1:24" ht="12.75">
      <c r="A198" s="8"/>
      <c r="B198" s="8"/>
      <c r="C198" s="11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</row>
    <row r="199" spans="1:24" ht="12.75">
      <c r="A199" s="8"/>
      <c r="B199" s="8"/>
      <c r="C199" s="1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</row>
    <row r="200" spans="1:24" ht="12.75">
      <c r="A200" s="8"/>
      <c r="B200" s="8"/>
      <c r="C200" s="11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</row>
    <row r="201" spans="1:24" ht="12.75">
      <c r="A201" s="8"/>
      <c r="B201" s="8"/>
      <c r="C201" s="11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</row>
    <row r="202" spans="1:24" ht="12.75">
      <c r="A202" s="8"/>
      <c r="B202" s="8"/>
      <c r="C202" s="11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</row>
    <row r="203" spans="1:24" ht="12.75">
      <c r="A203" s="8"/>
      <c r="B203" s="8"/>
      <c r="C203" s="11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</row>
    <row r="204" spans="1:24" ht="12.75">
      <c r="A204" s="8"/>
      <c r="B204" s="8"/>
      <c r="C204" s="11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</row>
    <row r="205" spans="1:24" ht="12.75">
      <c r="A205" s="8"/>
      <c r="B205" s="8"/>
      <c r="C205" s="11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</row>
    <row r="206" spans="1:24" ht="12.75">
      <c r="A206" s="8"/>
      <c r="B206" s="8"/>
      <c r="C206" s="11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</row>
    <row r="207" spans="1:24" ht="12.75">
      <c r="A207" s="8"/>
      <c r="B207" s="8"/>
      <c r="C207" s="11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</row>
    <row r="208" spans="1:24" ht="12.75">
      <c r="A208" s="8"/>
      <c r="B208" s="8"/>
      <c r="C208" s="11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</row>
    <row r="209" spans="1:24" ht="12.75">
      <c r="A209" s="8"/>
      <c r="B209" s="8"/>
      <c r="C209" s="11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</row>
    <row r="210" spans="1:24" ht="12.75">
      <c r="A210" s="8"/>
      <c r="B210" s="8"/>
      <c r="C210" s="11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</row>
    <row r="211" spans="1:24" ht="12.75">
      <c r="A211" s="8"/>
      <c r="B211" s="8"/>
      <c r="C211" s="11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</row>
    <row r="212" spans="1:24" ht="12.75">
      <c r="A212" s="8"/>
      <c r="B212" s="8"/>
      <c r="C212" s="11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</row>
    <row r="213" spans="1:24" ht="12.75">
      <c r="A213" s="8"/>
      <c r="B213" s="8"/>
      <c r="C213" s="11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</row>
    <row r="214" spans="1:24" ht="12.75">
      <c r="A214" s="8"/>
      <c r="B214" s="8"/>
      <c r="C214" s="11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</row>
    <row r="215" spans="1:24" ht="12.75">
      <c r="A215" s="8"/>
      <c r="B215" s="8"/>
      <c r="C215" s="11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</row>
    <row r="216" spans="1:24" ht="12.75">
      <c r="A216" s="8"/>
      <c r="B216" s="8"/>
      <c r="C216" s="11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</row>
    <row r="217" spans="1:24" ht="12.75">
      <c r="A217" s="8"/>
      <c r="B217" s="8"/>
      <c r="C217" s="11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</row>
    <row r="218" spans="1:24" ht="12.75">
      <c r="A218" s="8"/>
      <c r="B218" s="8"/>
      <c r="C218" s="11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</row>
    <row r="219" spans="1:24" ht="12.75">
      <c r="A219" s="8"/>
      <c r="B219" s="8"/>
      <c r="C219" s="11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</row>
    <row r="220" spans="1:24" ht="12.75">
      <c r="A220" s="8"/>
      <c r="B220" s="8"/>
      <c r="C220" s="11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</row>
    <row r="221" spans="1:24" ht="12.75">
      <c r="A221" s="8"/>
      <c r="B221" s="8"/>
      <c r="C221" s="11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</row>
    <row r="222" spans="1:24" ht="12.75">
      <c r="A222" s="8"/>
      <c r="B222" s="8"/>
      <c r="C222" s="11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</row>
    <row r="223" spans="1:24" ht="12.75">
      <c r="A223" s="8"/>
      <c r="B223" s="8"/>
      <c r="C223" s="11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</row>
    <row r="224" spans="1:24" ht="12.75">
      <c r="A224" s="8"/>
      <c r="B224" s="8"/>
      <c r="C224" s="11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</row>
    <row r="225" spans="1:24" ht="12.75">
      <c r="A225" s="8"/>
      <c r="B225" s="8"/>
      <c r="C225" s="11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</row>
    <row r="226" spans="1:24" ht="12.75">
      <c r="A226" s="8"/>
      <c r="B226" s="8"/>
      <c r="C226" s="11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</row>
    <row r="227" spans="1:24" ht="12.75">
      <c r="A227" s="8"/>
      <c r="B227" s="8"/>
      <c r="C227" s="11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</row>
    <row r="228" spans="1:24" ht="12.75">
      <c r="A228" s="8"/>
      <c r="B228" s="8"/>
      <c r="C228" s="11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</row>
    <row r="229" spans="1:24" ht="12.75">
      <c r="A229" s="8"/>
      <c r="B229" s="8"/>
      <c r="C229" s="11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</row>
    <row r="230" spans="1:24" ht="12.75">
      <c r="A230" s="8"/>
      <c r="B230" s="8"/>
      <c r="C230" s="11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</row>
    <row r="231" spans="1:24" ht="12.75">
      <c r="A231" s="8"/>
      <c r="B231" s="8"/>
      <c r="C231" s="11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</row>
    <row r="232" spans="1:24" ht="12.75">
      <c r="A232" s="8"/>
      <c r="B232" s="8"/>
      <c r="C232" s="11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</row>
    <row r="233" spans="1:24" ht="12.75">
      <c r="A233" s="8"/>
      <c r="B233" s="8"/>
      <c r="C233" s="11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</row>
    <row r="234" spans="1:24" ht="12.75">
      <c r="A234" s="8"/>
      <c r="B234" s="8"/>
      <c r="C234" s="11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</row>
    <row r="235" spans="1:24" ht="12.75">
      <c r="A235" s="8"/>
      <c r="B235" s="8"/>
      <c r="C235" s="11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</row>
    <row r="236" spans="1:24" ht="12.75">
      <c r="A236" s="8"/>
      <c r="B236" s="8"/>
      <c r="C236" s="11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</row>
    <row r="237" spans="1:24" ht="12.75">
      <c r="A237" s="8"/>
      <c r="B237" s="8"/>
      <c r="C237" s="11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</row>
    <row r="238" spans="1:24" ht="12.75">
      <c r="A238" s="8"/>
      <c r="B238" s="8"/>
      <c r="C238" s="11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</row>
    <row r="239" spans="1:24" ht="12.75">
      <c r="A239" s="8"/>
      <c r="B239" s="8"/>
      <c r="C239" s="11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</row>
    <row r="240" spans="1:24" ht="12.75">
      <c r="A240" s="8"/>
      <c r="B240" s="8"/>
      <c r="C240" s="11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</row>
    <row r="241" spans="1:24" ht="12.75">
      <c r="A241" s="8"/>
      <c r="B241" s="8"/>
      <c r="C241" s="11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</row>
    <row r="242" spans="1:24" ht="12.75">
      <c r="A242" s="8"/>
      <c r="B242" s="8"/>
      <c r="C242" s="11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</row>
    <row r="243" spans="1:24" ht="12.75">
      <c r="A243" s="8"/>
      <c r="B243" s="8"/>
      <c r="C243" s="11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</row>
    <row r="244" spans="1:24" ht="12.75">
      <c r="A244" s="8"/>
      <c r="B244" s="8"/>
      <c r="C244" s="11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</row>
    <row r="245" spans="1:24" ht="12.75">
      <c r="A245" s="8"/>
      <c r="B245" s="8"/>
      <c r="C245" s="11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</row>
    <row r="246" spans="1:24" ht="12.75">
      <c r="A246" s="8"/>
      <c r="B246" s="8"/>
      <c r="C246" s="11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</row>
    <row r="247" spans="1:24" ht="12.75">
      <c r="A247" s="8"/>
      <c r="B247" s="8"/>
      <c r="C247" s="11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</row>
    <row r="248" spans="1:24" ht="12.75">
      <c r="A248" s="8"/>
      <c r="B248" s="8"/>
      <c r="C248" s="11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</row>
    <row r="249" spans="1:24" ht="12.75">
      <c r="A249" s="8"/>
      <c r="B249" s="8"/>
      <c r="C249" s="11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</row>
    <row r="250" spans="1:24" ht="12.75">
      <c r="A250" s="8"/>
      <c r="B250" s="8"/>
      <c r="C250" s="11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</row>
    <row r="251" spans="1:24" ht="12.75">
      <c r="A251" s="8"/>
      <c r="B251" s="8"/>
      <c r="C251" s="11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</row>
    <row r="252" spans="1:24" ht="12.75">
      <c r="A252" s="8"/>
      <c r="B252" s="8"/>
      <c r="C252" s="11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</row>
    <row r="253" spans="1:24" ht="12.75">
      <c r="A253" s="8"/>
      <c r="B253" s="8"/>
      <c r="C253" s="11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</row>
    <row r="254" spans="1:24" ht="12.75">
      <c r="A254" s="8"/>
      <c r="B254" s="8"/>
      <c r="C254" s="11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</row>
    <row r="255" spans="1:24" ht="12.75">
      <c r="A255" s="8"/>
      <c r="B255" s="8"/>
      <c r="C255" s="11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</row>
    <row r="256" spans="1:24" ht="12.75">
      <c r="A256" s="8"/>
      <c r="B256" s="8"/>
      <c r="C256" s="11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</row>
    <row r="257" spans="1:24" ht="12.75">
      <c r="A257" s="8"/>
      <c r="B257" s="8"/>
      <c r="C257" s="11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</row>
    <row r="258" spans="1:24" ht="12.75">
      <c r="A258" s="8"/>
      <c r="B258" s="8"/>
      <c r="C258" s="11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</row>
    <row r="259" spans="1:24" ht="12.75">
      <c r="A259" s="8"/>
      <c r="B259" s="8"/>
      <c r="C259" s="11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</row>
    <row r="260" spans="1:24" ht="12.75">
      <c r="A260" s="8"/>
      <c r="B260" s="8"/>
      <c r="C260" s="11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</row>
    <row r="261" spans="1:24" ht="12.75">
      <c r="A261" s="8"/>
      <c r="B261" s="8"/>
      <c r="C261" s="11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</row>
    <row r="262" spans="1:24" ht="12.75">
      <c r="A262" s="8"/>
      <c r="B262" s="8"/>
      <c r="C262" s="11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</row>
    <row r="263" spans="1:24" ht="12.75">
      <c r="A263" s="8"/>
      <c r="B263" s="8"/>
      <c r="C263" s="11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</row>
    <row r="264" spans="1:24" ht="12.75">
      <c r="A264" s="8"/>
      <c r="B264" s="8"/>
      <c r="C264" s="11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</row>
    <row r="265" spans="1:24" ht="12.75">
      <c r="A265" s="8"/>
      <c r="B265" s="8"/>
      <c r="C265" s="11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</row>
    <row r="266" spans="1:24" ht="12.75">
      <c r="A266" s="8"/>
      <c r="B266" s="8"/>
      <c r="C266" s="11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</row>
    <row r="267" spans="1:24" ht="12.75">
      <c r="A267" s="8"/>
      <c r="B267" s="8"/>
      <c r="C267" s="11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</row>
    <row r="268" spans="1:24" ht="12.75">
      <c r="A268" s="8"/>
      <c r="B268" s="8"/>
      <c r="C268" s="11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</row>
    <row r="269" spans="1:24" ht="12.75">
      <c r="A269" s="8"/>
      <c r="B269" s="8"/>
      <c r="C269" s="11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</row>
    <row r="270" spans="1:24" ht="12.75">
      <c r="A270" s="8"/>
      <c r="B270" s="8"/>
      <c r="C270" s="11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</row>
    <row r="271" spans="1:24" ht="12.75">
      <c r="A271" s="8"/>
      <c r="B271" s="8"/>
      <c r="C271" s="11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</row>
    <row r="272" spans="1:24" ht="12.75">
      <c r="A272" s="8"/>
      <c r="B272" s="8"/>
      <c r="C272" s="11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</row>
    <row r="273" spans="1:24" ht="12.75">
      <c r="A273" s="8"/>
      <c r="B273" s="8"/>
      <c r="C273" s="11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</row>
    <row r="274" spans="1:24" ht="12.75">
      <c r="A274" s="8"/>
      <c r="B274" s="8"/>
      <c r="C274" s="11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</row>
    <row r="275" spans="1:24" ht="12.75">
      <c r="A275" s="8"/>
      <c r="B275" s="8"/>
      <c r="C275" s="11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</row>
    <row r="276" spans="1:24" ht="12.75">
      <c r="A276" s="8"/>
      <c r="B276" s="8"/>
      <c r="C276" s="11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</row>
    <row r="277" spans="1:24" ht="12.75">
      <c r="A277" s="8"/>
      <c r="B277" s="8"/>
      <c r="C277" s="11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</row>
    <row r="278" spans="1:24" ht="12.75">
      <c r="A278" s="8"/>
      <c r="B278" s="8"/>
      <c r="C278" s="11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</row>
    <row r="279" spans="1:24" ht="12.75">
      <c r="A279" s="8"/>
      <c r="B279" s="8"/>
      <c r="C279" s="11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</row>
    <row r="280" spans="1:24" ht="12.75">
      <c r="A280" s="8"/>
      <c r="B280" s="8"/>
      <c r="C280" s="11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</row>
    <row r="281" spans="1:24" ht="12.75">
      <c r="A281" s="8"/>
      <c r="B281" s="8"/>
      <c r="C281" s="11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</row>
    <row r="282" spans="1:24" ht="12.75">
      <c r="A282" s="8"/>
      <c r="B282" s="8"/>
      <c r="C282" s="11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</row>
    <row r="283" spans="1:24" ht="12.75">
      <c r="A283" s="8"/>
      <c r="B283" s="8"/>
      <c r="C283" s="11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</row>
    <row r="284" spans="1:24" ht="12.75">
      <c r="A284" s="8"/>
      <c r="B284" s="8"/>
      <c r="C284" s="11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</row>
    <row r="285" spans="1:24" ht="12.75">
      <c r="A285" s="8"/>
      <c r="B285" s="8"/>
      <c r="C285" s="11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</row>
    <row r="286" spans="1:24" ht="12.75">
      <c r="A286" s="8"/>
      <c r="B286" s="8"/>
      <c r="C286" s="11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</row>
    <row r="287" spans="1:24" ht="12.75">
      <c r="A287" s="8"/>
      <c r="B287" s="8"/>
      <c r="C287" s="11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</row>
    <row r="288" spans="1:24" ht="12.75">
      <c r="A288" s="8"/>
      <c r="B288" s="8"/>
      <c r="C288" s="11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</row>
    <row r="289" spans="1:24" ht="12.75">
      <c r="A289" s="8"/>
      <c r="B289" s="8"/>
      <c r="C289" s="11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</row>
    <row r="290" spans="1:24" ht="12.75">
      <c r="A290" s="8"/>
      <c r="B290" s="8"/>
      <c r="C290" s="11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</row>
    <row r="291" spans="1:24" ht="12.75">
      <c r="A291" s="8"/>
      <c r="B291" s="8"/>
      <c r="C291" s="11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</row>
    <row r="292" spans="1:24" ht="12.75">
      <c r="A292" s="8"/>
      <c r="B292" s="8"/>
      <c r="C292" s="11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</row>
    <row r="293" spans="1:24" ht="12.75">
      <c r="A293" s="8"/>
      <c r="B293" s="8"/>
      <c r="C293" s="11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</row>
    <row r="294" spans="1:24" ht="12.75">
      <c r="A294" s="8"/>
      <c r="B294" s="8"/>
      <c r="C294" s="11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</row>
    <row r="295" spans="1:24" ht="12.75">
      <c r="A295" s="8"/>
      <c r="B295" s="8"/>
      <c r="C295" s="11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</row>
    <row r="296" spans="1:24" ht="12.75">
      <c r="A296" s="8"/>
      <c r="B296" s="8"/>
      <c r="C296" s="11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</row>
    <row r="297" spans="1:24" ht="12.75">
      <c r="A297" s="8"/>
      <c r="B297" s="8"/>
      <c r="C297" s="11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</row>
    <row r="298" spans="1:24" ht="12.75">
      <c r="A298" s="8"/>
      <c r="B298" s="8"/>
      <c r="C298" s="11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</row>
    <row r="299" spans="1:24" ht="12.75">
      <c r="A299" s="8"/>
      <c r="B299" s="8"/>
      <c r="C299" s="11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</row>
    <row r="300" spans="1:24" ht="12.75">
      <c r="A300" s="8"/>
      <c r="B300" s="8"/>
      <c r="C300" s="11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</row>
    <row r="301" spans="1:24" ht="12.75">
      <c r="A301" s="8"/>
      <c r="B301" s="8"/>
      <c r="C301" s="11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</row>
    <row r="302" spans="1:24" ht="12.75">
      <c r="A302" s="8"/>
      <c r="B302" s="8"/>
      <c r="C302" s="11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</row>
    <row r="303" spans="1:24" ht="12.75">
      <c r="A303" s="8"/>
      <c r="B303" s="8"/>
      <c r="C303" s="11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</row>
    <row r="304" spans="1:24" ht="12.75">
      <c r="A304" s="8"/>
      <c r="B304" s="8"/>
      <c r="C304" s="11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</row>
    <row r="305" spans="1:24" ht="12.75">
      <c r="A305" s="8"/>
      <c r="B305" s="8"/>
      <c r="C305" s="11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</row>
    <row r="306" spans="1:24" ht="12.75">
      <c r="A306" s="8"/>
      <c r="B306" s="8"/>
      <c r="C306" s="11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</row>
    <row r="307" spans="1:24" ht="12.75">
      <c r="A307" s="8"/>
      <c r="B307" s="8"/>
      <c r="C307" s="11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</row>
    <row r="308" spans="1:24" ht="12.75">
      <c r="A308" s="8"/>
      <c r="B308" s="8"/>
      <c r="C308" s="11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</row>
    <row r="309" spans="1:24" ht="12.75">
      <c r="A309" s="8"/>
      <c r="B309" s="8"/>
      <c r="C309" s="11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</row>
    <row r="310" spans="1:24" ht="12.75">
      <c r="A310" s="8"/>
      <c r="B310" s="8"/>
      <c r="C310" s="11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</row>
    <row r="311" spans="1:24" ht="12.75">
      <c r="A311" s="8"/>
      <c r="B311" s="8"/>
      <c r="C311" s="11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</row>
    <row r="312" spans="1:24" ht="12.75">
      <c r="A312" s="8"/>
      <c r="B312" s="8"/>
      <c r="C312" s="11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</row>
    <row r="313" spans="1:24" ht="12.75">
      <c r="A313" s="8"/>
      <c r="B313" s="8"/>
      <c r="C313" s="11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</row>
    <row r="314" spans="1:24" ht="12.75">
      <c r="A314" s="8"/>
      <c r="B314" s="8"/>
      <c r="C314" s="11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</row>
    <row r="315" spans="1:24" ht="12.75">
      <c r="A315" s="8"/>
      <c r="B315" s="8"/>
      <c r="C315" s="11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</row>
    <row r="316" spans="1:24" ht="12.75">
      <c r="A316" s="8"/>
      <c r="B316" s="8"/>
      <c r="C316" s="11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</row>
    <row r="317" spans="1:24" ht="12.75">
      <c r="A317" s="8"/>
      <c r="B317" s="8"/>
      <c r="C317" s="11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</row>
    <row r="318" spans="1:24" ht="12.75">
      <c r="A318" s="8"/>
      <c r="B318" s="8"/>
      <c r="C318" s="11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</row>
    <row r="319" spans="1:24" ht="12.75">
      <c r="A319" s="8"/>
      <c r="B319" s="8"/>
      <c r="C319" s="11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</row>
    <row r="320" spans="1:24" ht="12.75">
      <c r="A320" s="8"/>
      <c r="B320" s="8"/>
      <c r="C320" s="11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</row>
    <row r="321" spans="1:24" ht="12.75">
      <c r="A321" s="8"/>
      <c r="B321" s="8"/>
      <c r="C321" s="11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</row>
    <row r="322" spans="1:24" ht="12.75">
      <c r="A322" s="8"/>
      <c r="B322" s="8"/>
      <c r="C322" s="11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</row>
    <row r="323" spans="1:24" ht="12.75">
      <c r="A323" s="8"/>
      <c r="B323" s="8"/>
      <c r="C323" s="11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</row>
    <row r="324" spans="1:24" ht="12.75">
      <c r="A324" s="8"/>
      <c r="B324" s="8"/>
      <c r="C324" s="11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</row>
    <row r="325" spans="1:24" ht="12.75">
      <c r="A325" s="8"/>
      <c r="B325" s="8"/>
      <c r="C325" s="11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</row>
    <row r="326" spans="1:24" ht="12.75">
      <c r="A326" s="8"/>
      <c r="B326" s="8"/>
      <c r="C326" s="11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</row>
    <row r="327" spans="1:24" ht="12.75">
      <c r="A327" s="8"/>
      <c r="B327" s="8"/>
      <c r="C327" s="11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</row>
    <row r="328" spans="1:24" ht="12.75">
      <c r="A328" s="8"/>
      <c r="B328" s="8"/>
      <c r="C328" s="11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</row>
    <row r="329" spans="1:24" ht="12.75">
      <c r="A329" s="8"/>
      <c r="B329" s="8"/>
      <c r="C329" s="11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</row>
    <row r="330" spans="1:24" ht="12.75">
      <c r="A330" s="8"/>
      <c r="B330" s="8"/>
      <c r="C330" s="11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</row>
    <row r="331" spans="1:24" ht="12.75">
      <c r="A331" s="8"/>
      <c r="B331" s="8"/>
      <c r="C331" s="11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</row>
    <row r="332" spans="1:24" ht="12.75">
      <c r="A332" s="8"/>
      <c r="B332" s="8"/>
      <c r="C332" s="11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</row>
    <row r="333" spans="1:24" ht="12.75">
      <c r="A333" s="8"/>
      <c r="B333" s="8"/>
      <c r="C333" s="11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</row>
    <row r="334" spans="1:24" ht="12.75">
      <c r="A334" s="8"/>
      <c r="B334" s="8"/>
      <c r="C334" s="11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</row>
    <row r="335" spans="1:24" ht="12.75">
      <c r="A335" s="8"/>
      <c r="B335" s="8"/>
      <c r="C335" s="11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</row>
    <row r="336" spans="1:24" ht="12.75">
      <c r="A336" s="8"/>
      <c r="B336" s="8"/>
      <c r="C336" s="11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</row>
    <row r="337" spans="1:24" ht="12.75">
      <c r="A337" s="8"/>
      <c r="B337" s="8"/>
      <c r="C337" s="11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</row>
    <row r="338" spans="1:24" ht="12.75">
      <c r="A338" s="8"/>
      <c r="B338" s="8"/>
      <c r="C338" s="11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</row>
    <row r="339" spans="1:24" ht="12.75">
      <c r="A339" s="8"/>
      <c r="B339" s="8"/>
      <c r="C339" s="11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</row>
    <row r="340" spans="1:24" ht="12.75">
      <c r="A340" s="8"/>
      <c r="B340" s="8"/>
      <c r="C340" s="11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</row>
    <row r="341" spans="1:24" ht="12.75">
      <c r="A341" s="8"/>
      <c r="B341" s="8"/>
      <c r="C341" s="11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</row>
    <row r="342" spans="1:24" ht="12.75">
      <c r="A342" s="8"/>
      <c r="B342" s="8"/>
      <c r="C342" s="11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</row>
    <row r="343" spans="1:24" ht="12.75">
      <c r="A343" s="8"/>
      <c r="B343" s="8"/>
      <c r="C343" s="11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</row>
    <row r="344" spans="1:24" ht="12.75">
      <c r="A344" s="8"/>
      <c r="B344" s="8"/>
      <c r="C344" s="11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</row>
    <row r="345" spans="1:24" ht="12.75">
      <c r="A345" s="8"/>
      <c r="B345" s="8"/>
      <c r="C345" s="11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</row>
    <row r="346" spans="1:24" ht="12.75">
      <c r="A346" s="8"/>
      <c r="B346" s="8"/>
      <c r="C346" s="11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</row>
    <row r="347" spans="1:24" ht="12.75">
      <c r="A347" s="8"/>
      <c r="B347" s="8"/>
      <c r="C347" s="11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</row>
    <row r="348" spans="1:24" ht="12.75">
      <c r="A348" s="8"/>
      <c r="B348" s="8"/>
      <c r="C348" s="11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</row>
    <row r="349" spans="1:24" ht="12.75">
      <c r="A349" s="8"/>
      <c r="B349" s="8"/>
      <c r="C349" s="11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</row>
    <row r="350" spans="1:24" ht="12.75">
      <c r="A350" s="8"/>
      <c r="B350" s="8"/>
      <c r="C350" s="11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</row>
    <row r="351" spans="1:24" ht="12.75">
      <c r="A351" s="8"/>
      <c r="B351" s="8"/>
      <c r="C351" s="11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</row>
    <row r="352" spans="1:24" ht="12.75">
      <c r="A352" s="8"/>
      <c r="B352" s="8"/>
      <c r="C352" s="11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</row>
    <row r="353" spans="1:24" ht="12.75">
      <c r="A353" s="8"/>
      <c r="B353" s="8"/>
      <c r="C353" s="11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</row>
    <row r="354" spans="1:24" ht="12.75">
      <c r="A354" s="8"/>
      <c r="B354" s="8"/>
      <c r="C354" s="11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</row>
    <row r="355" spans="1:24" ht="12.75">
      <c r="A355" s="8"/>
      <c r="B355" s="8"/>
      <c r="C355" s="11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</row>
    <row r="356" spans="1:24" ht="12.75">
      <c r="A356" s="8"/>
      <c r="B356" s="8"/>
      <c r="C356" s="11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</row>
    <row r="357" spans="1:24" ht="12.75">
      <c r="A357" s="8"/>
      <c r="B357" s="8"/>
      <c r="C357" s="11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</row>
    <row r="358" spans="1:24" ht="12.75">
      <c r="A358" s="8"/>
      <c r="B358" s="8"/>
      <c r="C358" s="11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</row>
    <row r="359" spans="1:24" ht="12.75">
      <c r="A359" s="8"/>
      <c r="B359" s="8"/>
      <c r="C359" s="11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</row>
    <row r="360" spans="1:24" ht="12.75">
      <c r="A360" s="8"/>
      <c r="B360" s="8"/>
      <c r="C360" s="11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</row>
    <row r="361" spans="1:24" ht="12.75">
      <c r="A361" s="8"/>
      <c r="B361" s="8"/>
      <c r="C361" s="11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</row>
    <row r="362" spans="1:24" ht="12.75">
      <c r="A362" s="8"/>
      <c r="B362" s="8"/>
      <c r="C362" s="11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</row>
    <row r="363" spans="1:24" ht="12.75">
      <c r="A363" s="8"/>
      <c r="B363" s="8"/>
      <c r="C363" s="11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</row>
    <row r="364" spans="1:24" ht="12.75">
      <c r="A364" s="8"/>
      <c r="B364" s="8"/>
      <c r="C364" s="11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</row>
    <row r="365" spans="1:24" ht="12.75">
      <c r="A365" s="8"/>
      <c r="B365" s="8"/>
      <c r="C365" s="11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</row>
    <row r="366" spans="1:24" ht="12.75">
      <c r="A366" s="8"/>
      <c r="B366" s="8"/>
      <c r="C366" s="11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</row>
    <row r="367" spans="1:24" ht="12.75">
      <c r="A367" s="8"/>
      <c r="B367" s="8"/>
      <c r="C367" s="11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</row>
    <row r="368" spans="1:24" ht="12.75">
      <c r="A368" s="8"/>
      <c r="B368" s="8"/>
      <c r="C368" s="11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</row>
    <row r="369" spans="1:24" ht="12.75">
      <c r="A369" s="8"/>
      <c r="B369" s="8"/>
      <c r="C369" s="11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</row>
    <row r="370" spans="1:24" ht="12.75">
      <c r="A370" s="8"/>
      <c r="B370" s="8"/>
      <c r="C370" s="11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</row>
    <row r="371" spans="1:24" ht="12.75">
      <c r="A371" s="8"/>
      <c r="B371" s="8"/>
      <c r="C371" s="11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</row>
    <row r="372" spans="1:24" ht="12.75">
      <c r="A372" s="8"/>
      <c r="B372" s="8"/>
      <c r="C372" s="11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</row>
    <row r="373" spans="1:24" ht="12.75">
      <c r="A373" s="8"/>
      <c r="B373" s="8"/>
      <c r="C373" s="11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</row>
    <row r="374" spans="1:24" ht="12.75">
      <c r="A374" s="8"/>
      <c r="B374" s="8"/>
      <c r="C374" s="11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</row>
    <row r="375" spans="1:24" ht="12.75">
      <c r="A375" s="8"/>
      <c r="B375" s="8"/>
      <c r="C375" s="11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</row>
    <row r="376" spans="1:24" ht="12.75">
      <c r="A376" s="8"/>
      <c r="B376" s="8"/>
      <c r="C376" s="11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</row>
    <row r="377" spans="1:24" ht="12.75">
      <c r="A377" s="8"/>
      <c r="B377" s="8"/>
      <c r="C377" s="11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</row>
    <row r="378" spans="1:24" ht="12.75">
      <c r="A378" s="8"/>
      <c r="B378" s="8"/>
      <c r="C378" s="11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</row>
    <row r="379" spans="1:24" ht="12.75">
      <c r="A379" s="8"/>
      <c r="B379" s="8"/>
      <c r="C379" s="11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</row>
    <row r="380" spans="1:24" ht="12.75">
      <c r="A380" s="8"/>
      <c r="B380" s="8"/>
      <c r="C380" s="11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</row>
    <row r="381" spans="1:24" ht="12.75">
      <c r="A381" s="8"/>
      <c r="B381" s="8"/>
      <c r="C381" s="11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</row>
    <row r="382" spans="1:24" ht="12.75">
      <c r="A382" s="8"/>
      <c r="B382" s="8"/>
      <c r="C382" s="11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</row>
    <row r="383" spans="1:24" ht="12.75">
      <c r="A383" s="8"/>
      <c r="B383" s="8"/>
      <c r="C383" s="11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</row>
    <row r="384" spans="1:24" ht="12.75">
      <c r="A384" s="8"/>
      <c r="B384" s="8"/>
      <c r="C384" s="11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</row>
    <row r="385" spans="1:24" ht="12.75">
      <c r="A385" s="8"/>
      <c r="B385" s="8"/>
      <c r="C385" s="11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</row>
    <row r="386" spans="1:24" ht="12.75">
      <c r="A386" s="8"/>
      <c r="B386" s="8"/>
      <c r="C386" s="11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</row>
    <row r="387" spans="1:24" ht="12.75">
      <c r="A387" s="8"/>
      <c r="B387" s="8"/>
      <c r="C387" s="11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</row>
    <row r="388" spans="1:24" ht="12.75">
      <c r="A388" s="8"/>
      <c r="B388" s="8"/>
      <c r="C388" s="11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</row>
    <row r="389" spans="1:24" ht="12.75">
      <c r="A389" s="8"/>
      <c r="B389" s="8"/>
      <c r="C389" s="11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</row>
  </sheetData>
  <mergeCells count="2">
    <mergeCell ref="A3:F3"/>
    <mergeCell ref="Q3:V3"/>
  </mergeCells>
  <printOptions/>
  <pageMargins left="0.75" right="0.75" top="1" bottom="1" header="0.5" footer="0.5"/>
  <pageSetup fitToHeight="1" fitToWidth="1" horizontalDpi="300" verticalDpi="3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M27"/>
  <sheetViews>
    <sheetView workbookViewId="0" topLeftCell="A1">
      <selection activeCell="A23" sqref="A23"/>
    </sheetView>
  </sheetViews>
  <sheetFormatPr defaultColWidth="11.421875" defaultRowHeight="12.75"/>
  <cols>
    <col min="1" max="2" width="9.140625" style="0" customWidth="1"/>
    <col min="3" max="3" width="21.140625" style="0" customWidth="1"/>
    <col min="4" max="4" width="9.140625" style="0" customWidth="1"/>
    <col min="5" max="5" width="17.00390625" style="0" customWidth="1"/>
    <col min="6" max="6" width="12.421875" style="0" customWidth="1"/>
    <col min="7" max="7" width="12.28125" style="0" customWidth="1"/>
    <col min="8" max="16384" width="9.140625" style="0" customWidth="1"/>
  </cols>
  <sheetData>
    <row r="5" spans="3:8" ht="12.75">
      <c r="C5" s="98"/>
      <c r="D5" s="98"/>
      <c r="E5" s="98"/>
      <c r="F5" s="98"/>
      <c r="G5" s="98"/>
      <c r="H5" s="98"/>
    </row>
    <row r="6" spans="3:8" ht="12.75">
      <c r="C6" s="98"/>
      <c r="D6" s="98"/>
      <c r="E6" s="98"/>
      <c r="F6" s="98"/>
      <c r="G6" s="98"/>
      <c r="H6" s="98"/>
    </row>
    <row r="7" spans="3:13" ht="12.75">
      <c r="C7" s="109" t="s">
        <v>57</v>
      </c>
      <c r="D7" s="110" t="s">
        <v>91</v>
      </c>
      <c r="E7" s="110" t="s">
        <v>88</v>
      </c>
      <c r="F7" s="110" t="s">
        <v>89</v>
      </c>
      <c r="G7" s="110" t="s">
        <v>90</v>
      </c>
      <c r="H7" s="8"/>
      <c r="M7" s="1"/>
    </row>
    <row r="8" spans="3:13" ht="12.75">
      <c r="C8" s="52" t="s">
        <v>70</v>
      </c>
      <c r="D8" s="111">
        <v>1</v>
      </c>
      <c r="E8" s="111"/>
      <c r="F8" s="121"/>
      <c r="G8" s="101"/>
      <c r="H8" s="98"/>
      <c r="M8" s="1"/>
    </row>
    <row r="9" spans="3:13" ht="12.75">
      <c r="C9" s="55" t="s">
        <v>46</v>
      </c>
      <c r="D9" s="112">
        <v>0</v>
      </c>
      <c r="E9" s="117">
        <f>STDEV(0,1,2)</f>
        <v>1</v>
      </c>
      <c r="F9" s="122">
        <v>0</v>
      </c>
      <c r="G9" s="102">
        <v>2</v>
      </c>
      <c r="H9" s="98"/>
      <c r="M9" s="1"/>
    </row>
    <row r="10" spans="3:13" ht="12.75">
      <c r="C10" s="57" t="s">
        <v>39</v>
      </c>
      <c r="D10" s="113">
        <v>0.43</v>
      </c>
      <c r="E10" s="118">
        <f>STDEV(50%,20%,59%)</f>
        <v>0.20420577856662128</v>
      </c>
      <c r="F10" s="123">
        <v>0.2</v>
      </c>
      <c r="G10" s="103">
        <v>0.59</v>
      </c>
      <c r="H10" s="98"/>
      <c r="M10" s="1"/>
    </row>
    <row r="11" spans="3:13" ht="12.75">
      <c r="C11" s="55" t="s">
        <v>17</v>
      </c>
      <c r="D11" s="114">
        <v>1000</v>
      </c>
      <c r="E11" s="112">
        <f>STDEV(1100,600,1300)</f>
        <v>360.5551275463989</v>
      </c>
      <c r="F11" s="122">
        <v>600</v>
      </c>
      <c r="G11" s="102">
        <v>1300</v>
      </c>
      <c r="H11" s="98"/>
      <c r="M11" s="15"/>
    </row>
    <row r="12" spans="3:8" ht="12.75">
      <c r="C12" s="104" t="s">
        <v>72</v>
      </c>
      <c r="D12" s="113">
        <v>0.87</v>
      </c>
      <c r="E12" s="118">
        <f>STDEV(92%,75%,94%)</f>
        <v>0.10440306508910613</v>
      </c>
      <c r="F12" s="142">
        <v>0.75</v>
      </c>
      <c r="G12" s="143">
        <v>0.94</v>
      </c>
      <c r="H12" s="98"/>
    </row>
    <row r="13" spans="3:8" ht="12.75">
      <c r="C13" s="57" t="s">
        <v>69</v>
      </c>
      <c r="D13" s="113">
        <v>0.7</v>
      </c>
      <c r="E13" s="119">
        <v>0.05</v>
      </c>
      <c r="F13" s="123">
        <v>0.55</v>
      </c>
      <c r="G13" s="103">
        <v>0.85</v>
      </c>
      <c r="H13" s="98"/>
    </row>
    <row r="14" spans="3:8" ht="12.75">
      <c r="C14" s="104" t="s">
        <v>71</v>
      </c>
      <c r="D14" s="115">
        <f>AVERAGE(87,107,93)/100</f>
        <v>0.9566666666666667</v>
      </c>
      <c r="E14" s="115">
        <f>STDEV(87,107,93)/100</f>
        <v>0.10263202878893798</v>
      </c>
      <c r="F14" s="146">
        <v>0.87</v>
      </c>
      <c r="G14" s="147">
        <v>1.07</v>
      </c>
      <c r="H14" s="98"/>
    </row>
    <row r="15" spans="3:8" ht="12.75">
      <c r="C15" s="107" t="s">
        <v>73</v>
      </c>
      <c r="D15" s="116">
        <v>14</v>
      </c>
      <c r="E15" s="120">
        <f>STDEV(10,13,20)</f>
        <v>5.131601439446882</v>
      </c>
      <c r="F15" s="144">
        <v>10</v>
      </c>
      <c r="G15" s="145">
        <v>20</v>
      </c>
      <c r="H15" s="98"/>
    </row>
    <row r="16" spans="3:8" ht="12.75">
      <c r="C16" s="98"/>
      <c r="D16" s="99"/>
      <c r="E16" s="99"/>
      <c r="F16" s="99"/>
      <c r="G16" s="99"/>
      <c r="H16" s="98"/>
    </row>
    <row r="17" spans="3:8" ht="12.75">
      <c r="C17" s="130" t="s">
        <v>48</v>
      </c>
      <c r="D17" s="131" t="s">
        <v>92</v>
      </c>
      <c r="E17" s="50">
        <v>1</v>
      </c>
      <c r="F17" s="50">
        <v>0</v>
      </c>
      <c r="G17" s="132"/>
      <c r="H17" s="98"/>
    </row>
    <row r="18" spans="3:8" ht="12.75">
      <c r="C18" s="55" t="s">
        <v>56</v>
      </c>
      <c r="D18" s="117"/>
      <c r="E18" s="113">
        <v>0.65</v>
      </c>
      <c r="F18" s="119">
        <f>1-E18</f>
        <v>0.35</v>
      </c>
      <c r="G18" s="102"/>
      <c r="H18" s="98"/>
    </row>
    <row r="19" spans="3:8" ht="12.75">
      <c r="C19" s="104" t="s">
        <v>12</v>
      </c>
      <c r="D19" s="117"/>
      <c r="E19" s="119">
        <v>0.08</v>
      </c>
      <c r="F19" s="117"/>
      <c r="G19" s="102"/>
      <c r="H19" s="98"/>
    </row>
    <row r="20" spans="3:8" ht="12.75">
      <c r="C20" s="104" t="s">
        <v>13</v>
      </c>
      <c r="D20" s="117"/>
      <c r="E20" s="119">
        <v>0.06</v>
      </c>
      <c r="F20" s="117"/>
      <c r="G20" s="102"/>
      <c r="H20" s="98"/>
    </row>
    <row r="21" spans="3:8" ht="12.75">
      <c r="C21" s="127" t="s">
        <v>40</v>
      </c>
      <c r="D21" s="116"/>
      <c r="E21" s="129">
        <f>18.9%</f>
        <v>0.18899999999999997</v>
      </c>
      <c r="F21" s="116"/>
      <c r="G21" s="128"/>
      <c r="H21" s="98"/>
    </row>
    <row r="22" spans="3:8" ht="12.75">
      <c r="C22" s="98"/>
      <c r="D22" s="98"/>
      <c r="E22" s="98"/>
      <c r="F22" s="98"/>
      <c r="G22" s="98"/>
      <c r="H22" s="98"/>
    </row>
    <row r="23" spans="3:8" ht="12.75">
      <c r="C23" s="98"/>
      <c r="D23" s="98"/>
      <c r="E23" s="98"/>
      <c r="F23" s="98"/>
      <c r="G23" s="98"/>
      <c r="H23" s="98"/>
    </row>
    <row r="24" spans="3:8" ht="12.75">
      <c r="C24" s="98"/>
      <c r="D24" s="98"/>
      <c r="E24" s="98"/>
      <c r="F24" s="98"/>
      <c r="G24" s="98"/>
      <c r="H24" s="98"/>
    </row>
    <row r="25" spans="3:8" ht="12.75">
      <c r="C25" s="98"/>
      <c r="D25" s="98"/>
      <c r="E25" s="98"/>
      <c r="F25" s="98"/>
      <c r="G25" s="98"/>
      <c r="H25" s="98"/>
    </row>
    <row r="26" spans="3:8" ht="12.75">
      <c r="C26" s="98"/>
      <c r="D26" s="98"/>
      <c r="E26" s="98"/>
      <c r="F26" s="98"/>
      <c r="G26" s="98"/>
      <c r="H26" s="98"/>
    </row>
    <row r="27" spans="3:8" ht="12.75">
      <c r="C27" s="98"/>
      <c r="D27" s="98"/>
      <c r="E27" s="98"/>
      <c r="F27" s="98"/>
      <c r="G27" s="98"/>
      <c r="H27" s="9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Darden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Darden Business School</dc:creator>
  <cp:keywords/>
  <dc:description/>
  <cp:lastModifiedBy>Luciano Machain: Master en Finanzas /CP/Lic. en Adm.</cp:lastModifiedBy>
  <cp:lastPrinted>1999-03-26T15:22:25Z</cp:lastPrinted>
  <dcterms:created xsi:type="dcterms:W3CDTF">1998-04-14T21:03:46Z</dcterms:created>
  <dcterms:modified xsi:type="dcterms:W3CDTF">2005-07-06T13:49:00Z</dcterms:modified>
  <cp:category/>
  <cp:version/>
  <cp:contentType/>
  <cp:contentStatus/>
</cp:coreProperties>
</file>